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50" activeTab="0"/>
  </bookViews>
  <sheets>
    <sheet name="Меню" sheetId="1" r:id="rId1"/>
    <sheet name="Кирпич Feldhaus Klinker" sheetId="2" r:id="rId2"/>
    <sheet name="Кирпич Terca BEL-NL" sheetId="3" r:id="rId3"/>
    <sheet name="Кирпич Terca EST" sheetId="4" r:id="rId4"/>
    <sheet name="Кирпич Terca GER" sheetId="5" r:id="rId5"/>
    <sheet name="Кирпич CRH NL" sheetId="6" r:id="rId6"/>
    <sheet name="Кирпич CRH PL" sheetId="7" state="hidden" r:id="rId7"/>
  </sheets>
  <externalReferences>
    <externalReference r:id="rId10"/>
    <externalReference r:id="rId11"/>
    <externalReference r:id="rId12"/>
  </externalReferences>
  <definedNames>
    <definedName name="date">'Кирпич Feldhaus Klinker'!$D$11</definedName>
    <definedName name="endPrice">'Кирпич Feldhaus Klinker'!$N$149</definedName>
    <definedName name="Арматура_оцинкованная_3050х50_мм_Murfor_RND_Z_50">'[1]Настройки'!$E$997</definedName>
    <definedName name="Ассортимент_CRH" localSheetId="0">'[1]Кирпич CRH NL'!$C$210:$L$215</definedName>
    <definedName name="Ассортимент_CRH">'Кирпич CRH NL'!$C$210:$L$215</definedName>
    <definedName name="АссортиментТеркаБГ" localSheetId="5">'[1]Кирпич Terca BEL-NL'!$C$92:$C$97</definedName>
    <definedName name="АссортиментТеркаБГ" localSheetId="6">'[1]Кирпич Terca BEL-NL'!$C$92:$C$97</definedName>
    <definedName name="АссортиментТеркаБГ" localSheetId="3">'[1]Кирпич Terca BEL-NL'!$C$92:$C$97</definedName>
    <definedName name="АссортиментТеркаБГ" localSheetId="4">'[1]Кирпич Terca BEL-NL'!$C$92:$C$97</definedName>
    <definedName name="АссортиментТеркаБГ" localSheetId="0">'[1]Кирпич Terca BEL-NL'!$C$92:$C$97</definedName>
    <definedName name="АссортиментТеркаБГ">'Кирпич Terca BEL-NL'!$C$92:$C$97</definedName>
    <definedName name="АссортиментТеркаГ" localSheetId="5">'[1]Кирпич Terca GER'!$C$90:$C$95</definedName>
    <definedName name="АссортиментТеркаГ" localSheetId="6">'[1]Кирпич Terca GER'!$C$90:$C$95</definedName>
    <definedName name="АссортиментТеркаГ" localSheetId="0">'[1]Кирпич Terca GER'!$C$90:$C$95</definedName>
    <definedName name="АссортиментТеркаГ">'Кирпич Terca GER'!$C$90:$C$95</definedName>
    <definedName name="АссортиментФельдхаус" localSheetId="5">'[1]Кирпич Feldhaus Klinker'!$C$140:$C$145</definedName>
    <definedName name="АссортиментФельдхаус" localSheetId="6">'[1]Кирпич Feldhaus Klinker'!$C$140:$C$145</definedName>
    <definedName name="АссортиментФельдхаус" localSheetId="2">'[1]Кирпич Feldhaus Klinker'!$C$140:$C$145</definedName>
    <definedName name="АссортиментФельдхаус" localSheetId="3">'[1]Кирпич Feldhaus Klinker'!$C$140:$C$145</definedName>
    <definedName name="АссортиментФельдхаус" localSheetId="4">'[1]Кирпич Feldhaus Klinker'!$C$140:$C$145</definedName>
    <definedName name="АссортиментФельдхаус" localSheetId="0">'[1]Кирпич Feldhaus Klinker'!$C$140:$C$145</definedName>
    <definedName name="АссортиментФельдхаус">'Кирпич Feldhaus Klinker'!$C$140:$C$145</definedName>
    <definedName name="АссортиментЦРХП" localSheetId="5">'[1]Кирпич CRH PL'!$C$146:$C$151</definedName>
    <definedName name="АссортиментЦРХП" localSheetId="0">'[1]Кирпич CRH PL'!$C$146:$C$151</definedName>
    <definedName name="АссортиментЦРХП">'Кирпич CRH PL'!$C$146:$C$151</definedName>
    <definedName name="АссортиментЭстония">#REF!</definedName>
    <definedName name="Вентиляционная_коробочка_Baut_115х60х10_мм_светло_серый">'[1]Настройки'!$E$996</definedName>
    <definedName name="Гибкая_связь_10620_BEVER_Well_L_3_х_275__250__мм">'[2]Настройки'!$C$276</definedName>
    <definedName name="гибкая_связь_MV">'[1]Настройки'!$E$995</definedName>
    <definedName name="гибкая_связь_Well">'[3]Настройки'!$C$235</definedName>
    <definedName name="Гидроизоляция_отсечная_DELTA_MAUERWERKSSPERRE_25_0_6_м">'[1]Настройки'!$E$994</definedName>
    <definedName name="Дата">'[1]Настройки'!$B$4</definedName>
    <definedName name="ДатаТеркаБельгГол">'[1]Настройки'!$F$4</definedName>
    <definedName name="ДатаТеркаГерм">'[1]Настройки'!$D$4</definedName>
    <definedName name="ДатаФельдхаус">'[1]Настройки'!$C$4</definedName>
    <definedName name="ДатаЦРХГолл">'[1]Настройки'!$G$4</definedName>
    <definedName name="ДатаЦРХПольша">'[1]Настройки'!$E$4</definedName>
    <definedName name="ДатаЭстония">'[2]Настройки'!$C$6</definedName>
    <definedName name="_xlnm.Print_Titles" localSheetId="6">'Кирпич CRH PL'!$3:$14</definedName>
    <definedName name="_xlnm.Print_Titles" localSheetId="1">'Кирпич Feldhaus Klinker'!$3:$25</definedName>
    <definedName name="_xlnm.Print_Titles" localSheetId="2">'Кирпич Terca BEL-NL'!$3:$14</definedName>
    <definedName name="_xlnm.Print_Titles" localSheetId="4">'Кирпич Terca GER'!$3:$14</definedName>
    <definedName name="Кирпич_12450030_TERCA_Belg_215x65x65_мм_handform_Morado_Eco">'[1]Настройки'!$D$239</definedName>
    <definedName name="Кирпич_12450230_TERCA_Belg_215x65x65_мм_handform_Dorado_Eco">'[1]Настройки'!$D$238</definedName>
    <definedName name="Кирпич_12452110_TERCA_Belg_214x100x64_мм_handform_Pelham_Antique">'[1]Настройки'!$D$456</definedName>
    <definedName name="Кирпич_12452930_TERCA_Belg_215x65x65_мм_handform_Veldbloem_Eco">'[1]Настройки'!$D$237</definedName>
    <definedName name="Кирпич_12453030_TERCA_Belg_215x65x65_мм_handform_Oud_Romaans_Eco">'[1]Настройки'!$D$235</definedName>
    <definedName name="Кирпич_12453130_TERCA_Belg_215x65x65_мм_handform_Barok_83_Eco">'[1]Настройки'!$D$233</definedName>
    <definedName name="Кирпич_12453230_TERCA_Belg_215x65x65_мм_handform_Paepesteen_Eco">'[1]Настройки'!$D$232</definedName>
    <definedName name="Кирпич_12453330_TERCA_Belg_215x65x65_мм_handform_Pampas_Eco">'[1]Настройки'!$D$236</definedName>
    <definedName name="Кирпич_12453530_TERCA_Belg_215x65x65_мм_handform_Kashtan_Eco">'[1]Настройки'!$D$234</definedName>
    <definedName name="Кирпич_12453930_TERCA_Belg_215x65x65_мм_handform_Bowland_Eco">'[1]Настройки'!$D$240</definedName>
    <definedName name="Кирпич_12454110_TERCA_Belg_214x100x64_мм_handform_Portsmouth">'[1]Настройки'!$D$457</definedName>
    <definedName name="Кирпич_12454230_TERCA_Belg_215x65x65_мм_handform_Langdale_Eco">'[1]Настройки'!$D$241</definedName>
    <definedName name="Кирпич_12700012_TERCA_Belg_WDF65_215_102_65_мм_handform_APPELBLOESEM">'[1]Настройки'!$D$216</definedName>
    <definedName name="Кирпич_12702212_TERCA_Belg_WDF65_215_102_65_мм_handform_AGAAT">'[1]Настройки'!$D$217</definedName>
    <definedName name="Кирпич_12703212_TERCA_Belg_WDF65_215_102_65_мм_handform_TOPAAS__заказ_">'[1]Настройки'!$D$218</definedName>
    <definedName name="Кирпич_12715410_TERCA_Belg_WDF65_216x101x64_мм_handform_RUSTICA_OUDE_VELDSTEEN">'[1]Настройки'!$D$224</definedName>
    <definedName name="Кирпич_12715510_TERCA_Belg_WDF65_220x103x66_мм_handform_RUSTICA_OUD_VEURNE">'[1]Настройки'!$D$225</definedName>
    <definedName name="Кирпич_12715610_TERCA_Belg_WDF65_216x101x64_мм_handform_RUSTICA_OUD_NIEUWPOORT">'[1]Настройки'!$D$222</definedName>
    <definedName name="Кирпич_12715710_TERCA_Belg_WDF65_216x101x64_мм_handform_RUSTICA_OUD_BEAUVOORDE">'[1]Настройки'!$D$220</definedName>
    <definedName name="Кирпич_12715810_TERCA_Belg_WDF65_216x101x64_мм_handform_RUSTICA_OUD_TORHOUT">'[1]Настройки'!$D$223</definedName>
    <definedName name="Кирпич_12715910_TERCA_Belg_WDF65_216x101x64_мм_handform_RUSTICA_OUD_DAMME">'[1]Настройки'!$D$221</definedName>
    <definedName name="Кирпич_12800212_TERCA_Belg_WDF65_215_102_65_мм_handform_BIJOU">'[1]Настройки'!$D$215</definedName>
    <definedName name="Кирпич_12800812_TERCA_Belg_WDF65_215_102_65_мм_handform_KERSEBLOESEM__заказ_">'[1]Настройки'!$D$213</definedName>
    <definedName name="Кирпич_12801212_TERCA_Belg_WDF65_215x102x65_мм_handform_OUD_KNOKKE__заказ">'[1]Настройки'!$D$243</definedName>
    <definedName name="Кирпич_12802212_TERCA_Belg_WDF65_215_102_65_мм_handform_STROBLOEM">'[1]Настройки'!$D$212</definedName>
    <definedName name="Кирпич_12802912_TERCA_Belg_WDF65_215_102_65_мм_handform_VALERIAAN">'[1]Настройки'!$D$211</definedName>
    <definedName name="Кирпич_12802912_TERCA_Belg_WDF65_215x102x65_мм_handform_VALERIAAN_заказ_">'[1]Настройки'!$D$229</definedName>
    <definedName name="Кирпич_12808112_TERCA_Belg_WDF65_215_102_65_мм_handform_BRUIN_ZWART">'[1]Настройки'!$D$210</definedName>
    <definedName name="Кирпич_133050_TERCA_NL_WDF65_215x100x65_мм_handform_BLAUW_ROOD_GENUANCEERD_заказ_">'[1]Настройки'!$D$230</definedName>
    <definedName name="Кирпич_133420_TERCA_NL_WDF65_215_100_65_мм_handform_LICHTBRONS">'[1]Настройки'!$D$203</definedName>
    <definedName name="Кирпич_133700_TERCA_NL_WDF65_215_100_65_мм_handform_VELDBRONS_GESINTERD">'[1]Настройки'!$D$202</definedName>
    <definedName name="Кирпич_133850_TERCA_NL_WDF65_215_100_65_мм_handform_BRONSGROEN">'[1]Настройки'!$D$201</definedName>
    <definedName name="Кирпич_134510_TERCA_NL_WDF65_215_100_65_мм_handform_BRONS_RUSTIEK_MARZIALE">'[1]Настройки'!$D$199</definedName>
    <definedName name="Кирпич_151410_TERCA_Belg_WDF65_215_102_65_мм_handform_OPUS">'[1]Настройки'!$D$193</definedName>
    <definedName name="Кирпич_151510_TERCA_Belg_WDF65_215_102_65_мм_handform_PASTORALE">'[1]Настройки'!$D$188</definedName>
    <definedName name="Кирпич_151610_TERCA_Belg_WDF65_215_102_65_мм_handform_ATINEA">'[1]Настройки'!$D$192</definedName>
    <definedName name="Кирпич_151810_TERCA_Belg_WDF65_210_100_65_мм_handform_AGORA_WIT_IVOOR">'[1]Настройки'!$D$184</definedName>
    <definedName name="Кирпич_152110_TERCA_Belg_WDF65_215_102_65_мм_handform_KASTANJEBRUIN">'[1]Настройки'!$D$187</definedName>
    <definedName name="Кирпич_152110_TERCA_Belg_WDF65_215х102х65_мм_handform_KASTANJEBRUIN__склад_">'[1]Настройки'!$D$182</definedName>
    <definedName name="Кирпич_152410_TERCA_Belg_WDF65_215_102_65_мм_handform_ORCHIDEE">'[1]Настройки'!$D$190</definedName>
    <definedName name="Кирпич_153110_TERCA_Belg_WDF65_215_102_65_мм_handform_ORCHIDEE_ROSE">'[1]Настройки'!$D$189</definedName>
    <definedName name="Кирпич_154710_TERCA_Belg_WDF65_215_100_65_мм_handform_SPAANS_ROOD">'[1]Настройки'!$D$191</definedName>
    <definedName name="Кирпич_154810_TERCA_Belg_WDF65_210_100_65_мм_handform_AGORA_PAARS">'[1]Настройки'!$D$185</definedName>
    <definedName name="Кирпич_154910_TERCA_Belg_WDF65_210_100_65_мм_handform_AGORA_GRAFIETZWART">'[1]Настройки'!$D$186</definedName>
    <definedName name="Кирпич_160210_TERCA_Belg_WDF65_215_102_65_мм_handform_MILANO">'[1]Настройки'!$D$197</definedName>
    <definedName name="Кирпич_166010_TERCA_Belg_WDF65_215x102x65_мм_handform_AURORA_заказ_">'[1]Настройки'!$D$231</definedName>
    <definedName name="Кирпич_166110_TERCA_Belg_WDF65_215_102_65_мм_handform_CIENNA">'[1]Настройки'!$D$196</definedName>
    <definedName name="Кирпич_166210_TERCA_Belg_WDF65_215_102_65_мм_handform_CASSANI">'[1]Настройки'!$D$195</definedName>
    <definedName name="Кирпич_167610_TERCA_Belg_WDF65_215_102_65_мм_handform_OMBRA">'[1]Настройки'!$D$198</definedName>
    <definedName name="Кирпич_25102000_TERCA_Est_ВАТ65_250х120х65_мм_гладкий_RED_красный">'[2]Настройки'!$C$169</definedName>
    <definedName name="Кирпич_25102006_TERCA_Est_ВАТ65_250х120х65_мм_гладкий_RED_красный">'[2]Настройки'!$C$263</definedName>
    <definedName name="Кирпич_25102020_TERCA_Est_ФАТ6585_250х85х65_мм_гладкий_RED_красный">'[2]Настройки'!$C$178</definedName>
    <definedName name="Кирпич_25102026_TERCA_Est_ФАТ65_85_250х85х65_мм_гладкий_RED_красный">'[1]Настройки'!$E$982</definedName>
    <definedName name="Кирпич_25102100_TERCA_Est_ВАТ65_250х120х65_мм_шероховатый_RED_красный">'[2]Настройки'!$C$264</definedName>
    <definedName name="Кирпич_25102120_TERCA_Est_ФАТ6585_250х85х65_мм_шероховатый_RED_красный">'[2]Настройки'!$C$180</definedName>
    <definedName name="Кирпич_25102160_TERCA_Est_ФАТ6585_250х85х65_мм_RIFF_RED_красный">'[2]Настройки'!$C$182</definedName>
    <definedName name="Кирпич_25102171_TERCA_Est_ФАТ65_85_250х85х65_мм_vulcano_RED_красный">'[2]Настройки'!$C$269</definedName>
    <definedName name="Кирпич_25102520_TERCA_Est_ФАТ6585_250х85х65_мм_гладкий_редуцированный_RED_FLAME_красный">'[2]Настройки'!$C$185</definedName>
    <definedName name="Кирпич_25102525_TERCA_Est_ФАТ65_85_250х85х65_мм_kosmos_RED_FLAME_красный">'[2]Настройки'!$C$260</definedName>
    <definedName name="Кирпич_25102540_TERCA_Est_ФАТ6585_250х85х65_мм_шероховатый_редуцированный_RED_FLAME_красный">'[2]Настройки'!$C$187</definedName>
    <definedName name="Кирпич_25102542_TERCA_Est_ФАТ65_85_250х85х65_мм_шероховатый_RED_FLAME_F2F">'[2]Настройки'!$C$266</definedName>
    <definedName name="Кирпич_25102570_TERCA_Est_ФАТ6585_250х85х65_мм_с_песчаной_посыпкой_редуцированный_RED_FLAME_красный">'[2]Настройки'!$C$189</definedName>
    <definedName name="Кирпич_25102571_TERCA_Est_ФАТ65_85_250х85х65_мм_с_песком_sanded_RED_FLAME_F2F">'[2]Настройки'!$C$265</definedName>
    <definedName name="Кирпич_25102700_TERCA_Est_ВАТ65_250х120х65_мм_гладкий_TERRA_коричневый">'[2]Настройки'!$C$191</definedName>
    <definedName name="Кирпич_25102720_TERCA_Est_ФАТ6585_250х85х65_мм_гладкий_TERRA_коричневый">'[2]Настройки'!$C$200</definedName>
    <definedName name="Кирпич_25102730_TERCA_Est_ВАТ65_250х120х65_мм_шероховатый_TERRA_коричневый">'[2]Настройки'!$C$194</definedName>
    <definedName name="Кирпич_25102750_TERCA_Est_ФАТ6585_250х85х65_мм_шероховатый_TERRA_коричневый_заказ">'[2]Настройки'!$C$202</definedName>
    <definedName name="Кирпич_25102750_TERCA_Est_ФАТ6585_250х85х65_мм_шероховатый_TERRA_коричневый_склад">'[2]Настройки'!$C$164</definedName>
    <definedName name="Кирпич_25102760_TERCA_Est_ВАТ65_250х120х65_мм_RIFF_TERRA_коричневый">'[2]Настройки'!$C$198</definedName>
    <definedName name="Кирпич_25102770_TERCA_Est_ФАТ6585_250х85х65_мм_RIFF_TERRA_коричневый_заказ">'[2]Настройки'!$C$204</definedName>
    <definedName name="Кирпич_25102770_TERCA_Est_ФАТ6585_250х85х65_мм_RIFF_TERRA_коричневый_склад">'[2]Настройки'!$C$165</definedName>
    <definedName name="Кирпич_25102776_TERCA_Est_ФАТ65_85_250х85х65_мм_vulcano_TERRA_коричневый">'[2]Настройки'!$C$270</definedName>
    <definedName name="Кирпич_25102801_TERCA_Est_ФАТ65_85_250х85х65_мм_гладкий_STOCKHOLM_красный">'[1]Настройки'!$E$983</definedName>
    <definedName name="Кирпич_25102802_TERCA_Est_ФАТ65_85_250х85х65_мм_гладкий_HELSINKI_светло_коричневый">'[1]Настройки'!$E$984</definedName>
    <definedName name="Кирпич_25102803_TERCA_Est_ФАТ65_85_250х85х65_мм_гладкий_OSLO_темно_коричневый">'[1]Настройки'!$E$985</definedName>
    <definedName name="Кирпич_25102804_TERCA_Est_ФАТ65_85_250х85х65_мм_гладкий_BERGEN_Коричнево_чёрный">'[1]Настройки'!$E$986</definedName>
    <definedName name="Кирпич_25102805_TERCA_Est_ФАТ65_85_250х85х65_мм_гладкий_TALLIN_бордовый">'[1]Настройки'!$E$987</definedName>
    <definedName name="Кирпич_25102806_TERCA_Est_ФАТ65_85_250х85х65_мм_гладкий_NARVA_бордово_синий">'[1]Настройки'!$E$988</definedName>
    <definedName name="Кирпич_25103000_TERCA_Est_ФАТ6585_250х85х65_мм_гладкий_SAFARI_желтый">'[2]Настройки'!$C$222</definedName>
    <definedName name="Кирпич_25103010_TERCA_Est_ВАТ65_250х120х65_мм_гладкий_SAFARI_желтый">'[2]Настройки'!$C$219</definedName>
    <definedName name="Кирпич_25103110_TERCA_Est_ФАТ6585_250х85х65_мм_шероховатый_SAFARI_желтый_заказ">'[2]Настройки'!$C$225</definedName>
    <definedName name="Кирпич_25103110_TERCA_Est_ФАТ6585_250х85х65_мм_шероховатый_SAFARI_желтый_склад">'[2]Настройки'!$C$167</definedName>
    <definedName name="Кирпич_25103120_TERCA_Est_ВАТ65_250х120х65_мм_шероховатый_SAFARI_желтый">'[2]Настройки'!$C$220</definedName>
    <definedName name="Кирпич_25103140_TERCA_Est_ФАТ6585_250х85х65_мм_RIFF_SAFARI_желтый_заказ">'[2]Настройки'!$C$227</definedName>
    <definedName name="Кирпич_25103140_TERCA_Est_ФАТ6585_250х85х65_мм_RIFF_SAFARI_желтый_склад">'[2]Настройки'!$C$168</definedName>
    <definedName name="Кирпич_25103160_TERCA_Est_ВАТ65_250х120х65_мм_RIFF_SAFARI_желтый">'[2]Настройки'!$C$221</definedName>
    <definedName name="Кирпич_25103171_TERCA_Est_ФАТ65_85_250х85х65_мм_vulcano_SAFARI_желтый">'[2]Настройки'!$C$271</definedName>
    <definedName name="Кирпич_25103200_TERCA_Est_ФАТ6585_250х85х65_мм_гладкий_ROSSO_желторозовый">'[2]Настройки'!$C$216</definedName>
    <definedName name="Кирпич_25103210_TERCA_Est_ФАТ6585_250х85х65_мм_шероховатый_ROSSO_желторозовый_заказ">'[2]Настройки'!$C$217</definedName>
    <definedName name="Кирпич_25103220_TERCA_Est_ВАТ65_250х120х65_мм_гладкий_ROSSO_желторозовый">'[2]Настройки'!$C$213</definedName>
    <definedName name="Кирпич_25103230_TERCA_Est_ВАТ65_250х120х65_мм_шероховатый_ROSSO_желторозовый">'[2]Настройки'!$C$214</definedName>
    <definedName name="Кирпич_25103235_TERCA_Est_ВАТ65_250х120х65_мм_RIFF_ROSSO_желторозовый">'[2]Настройки'!$C$215</definedName>
    <definedName name="Кирпич_25103240_TERCA_Est_ФАТ6585_250х85х65_мм_RIFF_ROSSO_желторозовый_заказ">'[2]Настройки'!$C$218</definedName>
    <definedName name="Кирпич_25103400_TERCA_Est_ФАТ6585_250х85х65_мм_гладкий_KUURA_кремовобелый">'[2]Настройки'!$C$210</definedName>
    <definedName name="Кирпич_25103410_TERCA_Est_ФАТ6585_250х85х65_мм_шероховатый_KUURA_кремовобелый">'[2]Настройки'!$C$211</definedName>
    <definedName name="Кирпич_25103440_TERCA_Est_ФАТ6585_250х85х65_мм_RIFF_KUURA_кремовобелый">'[2]Настройки'!$C$212</definedName>
    <definedName name="Кирпич_25103500_TERCA_Est_ФАТ65_85_250х85х65_мм_гладкий_TITAN">'[2]Настройки'!$C$258</definedName>
    <definedName name="Кирпич_25103540_TERCA_Est_ФАТ65_85_250х85х65_мм_RIFF_TITAN">'[2]Настройки'!$C$259</definedName>
    <definedName name="Кирпич_25103710_TERCA_Est_ФАТ6585_250х85х65_мм_гладкий_редуцированный_TERRA_FLAME_коричневый">'[2]Настройки'!$C$206</definedName>
    <definedName name="Кирпич_25103711_TERCA_Est_ФАТ6585_250х85х65_мм_шероховатый_редуцированный_TERRA_FLAME_коричневый">'[2]Настройки'!$C$207</definedName>
    <definedName name="Кирпич_25103713_TERCA_Est_ФАТ6585_250х85х65_мм_с_песчаной_посыпкой_редуцированный_TERRA_FLAME_коричневый">'[2]Настройки'!$C$208</definedName>
    <definedName name="Кирпич_25103720_TERCA_Est_ФАТ6585_250х85х65_мм_гладкий_NERO_черный">'[2]Настройки'!$C$209</definedName>
    <definedName name="Кирпич_25103871_TERCA_Est_ФАТ65_85_250х85х65_мм_vulcano_ANTRACIT_темно_серый">'[2]Настройки'!$C$272</definedName>
    <definedName name="Кирпич_25103900_TERCA_Est_ФАТ65_85_250х85х65_мм_гладкий_GRAFIT_черный">'[1]Настройки'!$E$989</definedName>
    <definedName name="Кирпич_25104720_TERCA_Est_ФАТ65_85_250х85х65_мм_гладкий_TERRAKOTA">'[2]Настройки'!$C$267</definedName>
    <definedName name="Кирпич_25104750_TERCA_Est_ФАТ65_85_250х85х65_мм_шероховатый_TERRAKOTA">'[2]Настройки'!$C$268</definedName>
    <definedName name="Кирпич_34370000_TERCA_Ger_NF_240x115x71_мм_glatt_MARKISCH">'[1]Настройки'!$E$837</definedName>
    <definedName name="Кирпич_34372000_TERCA_Ger_NF_240x115x71_мм_glatt_HEIDE">'[1]Настройки'!$E$838</definedName>
    <definedName name="Кирпич_34470005_TERCA_Ger_DF_240x115x52_мм_B1_Rot_nuanciert">'[1]Настройки'!$E$969</definedName>
    <definedName name="Кирпич_34470025_TERCA_Ger_NF_240x115x71_мм_B1_Rot_nuanciert">'[1]Настройки'!$E$842</definedName>
    <definedName name="Кирпич_34472015_TERCA_Ger_NF_240x115x71_мм_glatt_KK1_Rotbunt">'[1]Настройки'!$E$850</definedName>
    <definedName name="Кирпич_34473010_TERCA_Ger_NF_240x115x71_мм_antik_Aa_Rot_nuanciert">'[1]Настройки'!$E$851</definedName>
    <definedName name="Кирпич_34473020_TERCA_Ger_DF_240x115x52_мм_besandet_B5_Rotbraun_bunt">'[1]Настройки'!$E$972</definedName>
    <definedName name="Кирпич_34473030_TERCA_Ger_NF_240x115x71_мм_besandet_B5_Rotbraun_bunt">'[1]Настройки'!$E$852</definedName>
    <definedName name="Кирпич_34474025_TERCA_Ger_NF_240x115x71_мм_genarbt_unbesandet_B6_Bunt">'[1]Настройки'!$E$855</definedName>
    <definedName name="Кирпич_34474040_TERCA_Ger_NF_240x115x71_мм_grob_strukturiert_B16_Rotbunt">'[1]Настройки'!$E$856</definedName>
    <definedName name="Кирпич_34475250_TERCA_Ger_NF_240x115x71_мм_strukturiert_HKS_Kohle">'[1]Настройки'!$E$860</definedName>
    <definedName name="Кирпич_34480000_TERCA_Ger_NF_240x115x71_мм_glatt_KKB_Rotbraun_bunt_Kohlebrand">'[1]Настройки'!$E$868</definedName>
    <definedName name="Кирпич_34480095_TERCA_Ger_NF_240x115x71_мм_glatt_BK1_Blaurot_bunt">'[1]Настройки'!$E$870</definedName>
    <definedName name="Кирпич_34480280_TERCA_Ger_NF_240x115x71_мм_strukturiert_Oranje_Spezial">'[1]Настройки'!$E$871</definedName>
    <definedName name="Кирпич_34481705_TERCA_Ger_NF_240x115x71_мм_glatt_WESTMINSTER">'[1]Настройки'!$E$876</definedName>
    <definedName name="Кирпич_34481710_TERCA_Ger_2DF_250x115x113_мм_glatt_WESTWINSTER">'[1]Настройки'!$E$877</definedName>
    <definedName name="Кирпич_34481730_TERCA_Ger_NF_240x115x71_мм_Alt_Ditzum">'[1]Настройки'!$E$878</definedName>
    <definedName name="Кирпич_34483080_TERCA_Ger_NF_240x115x71_мм_Cuxhaven">'[1]Настройки'!$E$975</definedName>
    <definedName name="Кирпич_34485040_TERCA_Ger_NF_240x115x71_мм_flach_genarbt_F8_Weiss">'[1]Настройки'!$E$891</definedName>
    <definedName name="Кирпич_34485480_TERCA_Ger_NF_240x85x71_мм_genarbt_F4_Weiss">'[1]Настройки'!$E$898</definedName>
    <definedName name="Кирпич_34485520_TERCA_Ger_NF_240x105x71_мм_strukturiert_F12_weiss">'[1]Настройки'!$E$899</definedName>
    <definedName name="Кирпич_34487020_TERCA_Ger_NF_240x115x71_мм_genarbt_F4_Weiss">'[1]Настройки'!$E$905</definedName>
    <definedName name="Кирпич_7_Schlitz_34370100_TERCA_Ger_NF_240x115x71_мм_glatt_MARKISCH">'[1]Настройки'!$E$965</definedName>
    <definedName name="Кирпич_7_Schlitz_34372110_TERCA_Ger_RF_250x120x65_мм_glatt_HEIDE">'[1]Настройки'!$E$924</definedName>
    <definedName name="Кирпич_7_Schlitz_34373400_TERCA_Ger_NF_240x115x71_мм_LEIPZIG">'[1]Настройки'!$E$926</definedName>
    <definedName name="Кирпич_7_Schlitz_34381100_TERCA_Ger_NF_240x115x71_мм_glatt_CALAU">'[1]Настройки'!$E$935</definedName>
    <definedName name="Кирпич_7_Schlitz_34382100_TERCA_Ger_NF_240x115x71_мм_glatt_DRESDEN">'[1]Настройки'!$E$936</definedName>
    <definedName name="Кирпич_7_Schlitz_34384100_TERCA_Ger_NF_240x115x71_мм_glatt_HAVELLAND">'[1]Настройки'!$E$937</definedName>
    <definedName name="Кирпич_7_Schlitz_34386100_TERCA_Ger_NF_240x115x71_мм_FRANKFURT">'[1]Настройки'!$E$938</definedName>
    <definedName name="Кирпич_7_Schlitz_34388150_TERCA_Ger_NF_240x115x71_мм_POTSDAM">'[1]Настройки'!$E$939</definedName>
    <definedName name="Кирпич_7_Schlitz_34389140_TERCA_Ger_RF_250x120x65_мм_glatt_DRESDEN">'[1]Настройки'!$E$940</definedName>
    <definedName name="Кирпич_7_Schlitz_34470195_TERCA_Ger_RF_240x115x65_мм_B1_Rot_nuanciert">'[1]Настройки'!$E$970</definedName>
    <definedName name="Кирпич_7_Schlitz_34478105_TERCA_Ger_NF_240x115x71_мм_glatt_S1_Schwarzbraun">'[1]Настройки'!$E$942</definedName>
    <definedName name="Кирпич_CRH_Half_250_55_65_мм_гладкий_Alfa">'[1]Настройки'!$E$731</definedName>
    <definedName name="Кирпич_CRH_Half_250_55_65_мм_гладкий_Carbon">'[1]Настройки'!$E$790</definedName>
    <definedName name="Кирпич_CRH_Half_250_55_65_мм_гладкий_Cherry">'[1]Настройки'!$E$732</definedName>
    <definedName name="Кирпич_CRH_Half_250_55_65_мм_гладкий_Etna">'[1]Настройки'!$E$755</definedName>
    <definedName name="Кирпич_CRH_Half_250_55_65_мм_гладкий_Gotika">'[1]Настройки'!$E$733</definedName>
    <definedName name="Кирпич_CRH_Half_250_55_65_мм_гладкий_Kalahari">'[1]Настройки'!$E$734</definedName>
    <definedName name="Кирпич_CRH_Half_250_55_65_мм_гладкий_Kalahari_Ton">'[1]Настройки'!$E$735</definedName>
    <definedName name="Кирпич_CRH_Half_250_55_65_мм_гладкий_Luna">'[1]Настройки'!$E$756</definedName>
    <definedName name="Кирпич_CRH_Half_250_55_65_мм_гладкий_Ochra_Ton">'[1]Настройки'!$E$685</definedName>
    <definedName name="Кирпич_CRH_Half_250_55_65_мм_гладкий_Rubin_cieniowany">'[1]Настройки'!$E$736</definedName>
    <definedName name="Кирпич_CRH_Half_250_55_65_мм_гладкий_Sahara">'[1]Настройки'!$E$686</definedName>
    <definedName name="Кирпич_CRH_Half_250_55_65_мм_гладкий_Sahara_Cieniowana">'[1]Настройки'!$E$687</definedName>
    <definedName name="Кирпич_CRH_Half_250_55_65_мм_гладкий_Sahara_Miodowa">'[1]Настройки'!$E$688</definedName>
    <definedName name="Кирпич_CRH_Half_250_55_65_мм_гладкий_Sahara_Piaskowa">'[1]Настройки'!$E$689</definedName>
    <definedName name="Кирпич_CRH_Half_250_55_65_мм_гладкий_Sahara_Ton">'[1]Настройки'!$E$690</definedName>
    <definedName name="Кирпич_CRH_Half_250_55_65_мм_гладкий_Solar">'[1]Настройки'!$E$691</definedName>
    <definedName name="Кирпич_CRH_Half_250_55_65_мм_гладкий_Starobrowarna">'[1]Настройки'!$E$737</definedName>
    <definedName name="Кирпич_CRH_Half_250_55_65_мм_гладкий_Super">'[1]Настройки'!$E$757</definedName>
    <definedName name="Кирпич_CRH_Half_250_55_65_мм_гладкий_Syriusz_cieniowany">'[1]Настройки'!$E$781</definedName>
    <definedName name="Кирпич_CRH_Half_250_55_65_мм_гладкий_Tybet_cieniowany">'[1]Настройки'!$E$782</definedName>
    <definedName name="Кирпич_CRH_Half_250_55_65_мм_структурированный_Classic">'[1]Настройки'!$E$758</definedName>
    <definedName name="Кирпич_CRH_Half_250_70_65_мм_гладкий_Gobi_N">'[1]Настройки'!$E$718</definedName>
    <definedName name="Кирпич_CRH_Half_250_70_65_мм_гладкий_Orion_N">'[1]Настройки'!$E$719</definedName>
    <definedName name="Кирпич_CRH_Half_250_70_65_мм_гладкий_Tytan_N">'[1]Настройки'!$E$783</definedName>
    <definedName name="Кирпич_CRH_Half_250_70_65_мм_гладкий_Wega">'[1]Настройки'!$E$720</definedName>
    <definedName name="Кирпич_CRH_Half_250_70_65_мм_гладкий_Wega_N">'[1]Настройки'!$E$721</definedName>
    <definedName name="Кирпич_CRH_Half_250x55x65_мм_гладкий_Galaxy">'[1]Настройки'!$C$471</definedName>
    <definedName name="Кирпич_CRH_Half_250x55x65_мм_гладкий_Galaxy_Silver">'[1]Настройки'!$C$472</definedName>
    <definedName name="Кирпич_CRH_Half_250x55x65_мм_гладкий_Maximus">'[1]Настройки'!$C$466</definedName>
    <definedName name="Кирпич_CRH_RF_250_120_65_мм_гладкий_Alfa">'[1]Настройки'!$E$738</definedName>
    <definedName name="Кирпич_CRH_RF_250_120_65_мм_гладкий_Antica">'[1]Настройки'!$E$760</definedName>
    <definedName name="Кирпич_CRH_RF_250_120_65_мм_гладкий_Carbon">'[1]Настройки'!$E$791</definedName>
    <definedName name="Кирпич_CRH_RF_250_120_65_мм_гладкий_Cherry">'[1]Настройки'!$E$739</definedName>
    <definedName name="Кирпич_CRH_RF_250_120_65_мм_гладкий_Classic">'[1]Настройки'!$E$761</definedName>
    <definedName name="Кирпич_CRH_RF_250_120_65_мм_гладкий_Etna">'[1]Настройки'!$E$762</definedName>
    <definedName name="Кирпич_CRH_RF_250_120_65_мм_гладкий_Gotika">'[1]Настройки'!$E$740</definedName>
    <definedName name="Кирпич_CRH_RF_250_120_65_мм_гладкий_Kalahari">'[1]Настройки'!$E$741</definedName>
    <definedName name="Кирпич_CRH_RF_250_120_65_мм_гладкий_Kalahari_Ton">'[1]Настройки'!$E$742</definedName>
    <definedName name="Кирпич_CRH_RF_250_120_65_мм_гладкий_Luna">'[1]Настройки'!$E$763</definedName>
    <definedName name="Кирпич_CRH_RF_250_120_65_мм_гладкий_Ochra">'[1]Настройки'!$E$692</definedName>
    <definedName name="Кирпич_CRH_RF_250_120_65_мм_гладкий_Ochra_Ton">'[1]Настройки'!$E$693</definedName>
    <definedName name="Кирпич_CRH_RF_250_120_65_мм_гладкий_Orion_N">'[1]Настройки'!$E$723</definedName>
    <definedName name="Кирпич_CRH_RF_250_120_65_мм_гладкий_Pegaz_N">'[1]Настройки'!$E$764</definedName>
    <definedName name="Кирпич_CRH_RF_250_120_65_мм_гладкий_Rubin_cieniowany">'[1]Настройки'!$E$743</definedName>
    <definedName name="Кирпич_CRH_RF_250_120_65_мм_гладкий_Rustica">'[1]Настройки'!$E$765</definedName>
    <definedName name="Кирпич_CRH_RF_250_120_65_мм_гладкий_Sahara">'[1]Настройки'!$E$694</definedName>
    <definedName name="Кирпич_CRH_RF_250_120_65_мм_гладкий_Sahara_Cieniowana">'[1]Настройки'!$E$695</definedName>
    <definedName name="Кирпич_CRH_RF_250_120_65_мм_гладкий_Sahara_Miodowa">'[1]Настройки'!$E$696</definedName>
    <definedName name="Кирпич_CRH_RF_250_120_65_мм_гладкий_Sahara_Piaskowa">'[1]Настройки'!$E$697</definedName>
    <definedName name="Кирпич_CRH_RF_250_120_65_мм_гладкий_Sahara_Ton">'[1]Настройки'!$E$698</definedName>
    <definedName name="Кирпич_CRH_RF_250_120_65_мм_гладкий_Solar">'[1]Настройки'!$E$699</definedName>
    <definedName name="Кирпич_CRH_RF_250_120_65_мм_гладкий_Starobrowarna">'[1]Настройки'!$E$744</definedName>
    <definedName name="Кирпич_CRH_RF_250_120_65_мм_гладкий_Super">'[1]Настройки'!$E$766</definedName>
    <definedName name="Кирпич_CRH_RF_250_120_65_мм_гладкий_Supernova">'[1]Настройки'!$E$767</definedName>
    <definedName name="Кирпич_CRH_RF_250_120_65_мм_гладкий_Syriusz_cieniowany">'[1]Настройки'!$E$784</definedName>
    <definedName name="Кирпич_CRH_RF_250_120_65_мм_гладкий_Tybet_cieniowany">'[1]Настройки'!$E$785</definedName>
    <definedName name="Кирпич_CRH_RF_250_120_65_мм_гладкий_Tytan_N">'[1]Настройки'!$E$786</definedName>
    <definedName name="Кирпич_CRH_RF_250_120_65_мм_гладкий_Wega">'[1]Настройки'!$E$724</definedName>
    <definedName name="Кирпич_CRH_RF_250_120_65_мм_гладкий_Wega_N">'[1]Настройки'!$E$725</definedName>
    <definedName name="Кирпич_CRH_RF_250_120_65_мм_структурированный_Arizona">'[1]Настройки'!$E$700</definedName>
    <definedName name="Кирпич_CRH_RF_250_120_65_мм_структурированный_Colorado">'[1]Настройки'!$E$768</definedName>
    <definedName name="Кирпич_CRH_RF_250x120x65_мм_гладкий_Galaxy">'[1]Настройки'!$C$473</definedName>
    <definedName name="Кирпич_CRH_RF_250x120x65_мм_гладкий_Galaxy_Silver">'[1]Настройки'!$C$474</definedName>
    <definedName name="Кирпич_CRH_RF_250x120x65_мм_гладкий_Maximus">'[1]Настройки'!$C$467</definedName>
    <definedName name="Кирпич_CRH_RF_250x120x65_мм_гладкий_Toba">'[1]Настройки'!$C$476</definedName>
    <definedName name="Кирпич_CRH_WDF_214_98_66_мм_ручной_формовки_OUD_MAAS">'[1]Настройки'!$D$266</definedName>
    <definedName name="Кирпич_CRH_WDF_214_98_66_мм_ручной_формовки_OUD_MAAS_склад">'[1]Настройки'!$D$267</definedName>
    <definedName name="Кирпич_CRH_WDF_214x98x66_мм_ручной_формовки_FB_AGAATGRIJS">'[1]Настройки'!$D$410</definedName>
    <definedName name="Кирпич_CRH_WDF_214x98x66_мм_ручной_формовки_FB_AKITA">'[1]Настройки'!$D$411</definedName>
    <definedName name="Кирпич_CRH_WDF_214x98x66_мм_ручной_формовки_FB_ALU">'[1]Настройки'!$D$412</definedName>
    <definedName name="Кирпич_CRH_WDF_214x98x66_мм_ручной_формовки_FB_ALU_SPECIAAL">'[1]Настройки'!$D$413</definedName>
    <definedName name="Кирпич_CRH_WDF_214x98x66_мм_ручной_формовки_FB_AUTUMN" localSheetId="5">'Кирпич CRH NL'!$D$391</definedName>
    <definedName name="Кирпич_CRH_WDF_214x98x66_мм_ручной_формовки_FB_BEIGE">'[1]Настройки'!$D$302</definedName>
    <definedName name="Кирпич_CRH_WDF_214x98x66_мм_ручной_формовки_FB_CARMINE_GENUANCEERD">'[1]Настройки'!$D$353</definedName>
    <definedName name="Кирпич_CRH_WDF_214x98x66_мм_ручной_формовки_FB_CARMINE_GS">'[1]Настройки'!$D$354</definedName>
    <definedName name="Кирпич_CRH_WDF_214x98x66_мм_ручной_формовки_FB_CASTELLO_GEEL">'[1]Настройки'!$D$303</definedName>
    <definedName name="Кирпич_CRH_WDF_214x98x66_мм_ручной_формовки_FB_CASTELLO_ORANJE">'[1]Настройки'!$D$391</definedName>
    <definedName name="Кирпич_CRH_WDF_214x98x66_мм_ручной_формовки_FB_CASTELLO_ROOD">'[1]Настройки'!$D$355</definedName>
    <definedName name="Кирпич_CRH_WDF_214x98x66_мм_ручной_формовки_FB_CLASSIC_CARMINE">'[1]Настройки'!$D$356</definedName>
    <definedName name="Кирпич_CRH_WDF_214x98x66_мм_ручной_формовки_FB_CLASSIC_FBL">'[1]Настройки'!$D$304</definedName>
    <definedName name="Кирпич_CRH_WDF_214x98x66_мм_ручной_формовки_FB_CLASSIC_SEPIA" localSheetId="5">'Кирпич CRH NL'!$D$392</definedName>
    <definedName name="Кирпич_CRH_WDF_214x98x66_мм_ручной_формовки_FB_CLASSIC_TERRA_COTTA">'[1]Настройки'!$D$392</definedName>
    <definedName name="Кирпич_CRH_WDF_214x98x66_мм_ручной_формовки_FB_CREME_WIT">'[1]Настройки'!$D$305</definedName>
    <definedName name="Кирпич_CRH_WDF_214x98x66_мм_ручной_формовки_FB_ETNA">'[1]Настройки'!$D$414</definedName>
    <definedName name="Кирпич_CRH_WDF_214x98x66_мм_ручной_формовки_FB_FBL_GS">'[1]Настройки'!$D$306</definedName>
    <definedName name="Кирпич_CRH_WDF_214x98x66_мм_ручной_формовки_FB_HAVANNA">'[1]Настройки'!$D$393</definedName>
    <definedName name="Кирпич_CRH_WDF_214x98x66_мм_ручной_формовки_FB_HAVANNA_GS">'[1]Настройки'!$D$394</definedName>
    <definedName name="Кирпич_CRH_WDF_214x98x66_мм_ручной_формовки_FB_KARDINAAL_ROOD">'[1]Настройки'!$D$357</definedName>
    <definedName name="Кирпич_CRH_WDF_214x98x66_мм_ручной_формовки_FB_KARDINAAL_ROOD_GS">'[1]Настройки'!$D$358</definedName>
    <definedName name="Кирпич_CRH_WDF_214x98x66_мм_ручной_формовки_FB_KARDINAAL_ROOD_METALLIC">'[1]Настройки'!$D$359</definedName>
    <definedName name="Кирпич_CRH_WDF_214x98x66_мм_ручной_формовки_FB_KASTEEL_CASTELLO__заказ_">'[1]Настройки'!$D$459</definedName>
    <definedName name="Кирпич_CRH_WDF_214x98x66_мм_ручной_формовки_FB_KIEZELGRIJS">'[1]Настройки'!$D$415</definedName>
    <definedName name="Кирпич_CRH_WDF_214x98x66_мм_ручной_формовки_FB_LUCCA">'[1]Настройки'!$D$362</definedName>
    <definedName name="Кирпич_CRH_WDF_214x98x66_мм_ручной_формовки_FB_NEVADO_GEEL_GESMOORD">'[1]Настройки'!$D$416</definedName>
    <definedName name="Кирпич_CRH_WDF_214x98x66_мм_ручной_формовки_FB_NEVADO_ORANJE_GESMOORD">'[1]Настройки'!$D$417</definedName>
    <definedName name="Кирпич_CRH_WDF_214x98x66_мм_ручной_формовки_FB_NEVADO_ROOD_GESMOORD">'[1]Настройки'!$D$418</definedName>
    <definedName name="Кирпич_CRH_WDF_214x98x66_мм_ручной_формовки_FB_ORANJE">'[1]Настройки'!$D$395</definedName>
    <definedName name="Кирпич_CRH_WDF_214x98x66_мм_ручной_формовки_FB_ORANJE_BLAUW_ZAND">'[1]Настройки'!$D$396</definedName>
    <definedName name="Кирпич_CRH_WDF_214x98x66_мм_ручной_формовки_FB_OUD_EIK" localSheetId="5">'Кирпич CRH NL'!$D$393</definedName>
    <definedName name="Кирпич_CRH_WDF_214x98x66_мм_ручной_формовки_FB_OUD_HOLLANDS_WIT">'[1]Настройки'!$D$292</definedName>
    <definedName name="Кирпич_CRH_WDF_214x98x66_мм_ручной_формовки_FB_PICO">'[1]Настройки'!$D$445</definedName>
    <definedName name="Кирпич_CRH_WDF_214x98x66_мм_ручной_формовки_FB_PINTA">'[1]Настройки'!$D$419</definedName>
    <definedName name="Кирпич_CRH_WDF_214x98x66_мм_ручной_формовки_FB_PURPLE_GS">'[1]Настройки'!$D$366</definedName>
    <definedName name="Кирпич_CRH_WDF_214x98x66_мм_ручной_формовки_FB_RAINBOW_GREYDUST">'[1]Настройки'!$D$293</definedName>
    <definedName name="Кирпич_CRH_WDF_214x98x66_мм_ручной_формовки_FB_RAINBOW_SNOWDUST">'[1]Настройки'!$D$294</definedName>
    <definedName name="Кирпич_CRH_WDF_214x98x66_мм_ручной_формовки_FB_RAINBOW_WIT">'[1]Настройки'!$D$295</definedName>
    <definedName name="Кирпич_CRH_WDF_214x98x66_мм_ручной_формовки_FB_RAINBOW_ZILVER">'[1]Настройки'!$D$420</definedName>
    <definedName name="Кирпич_CRH_WDF_214x98x66_мм_ручной_формовки_FB_RETRO">'[1]Настройки'!$D$307</definedName>
    <definedName name="Кирпич_CRH_WDF_214x98x66_мм_ручной_формовки_FB_ROOD_GS">'[1]Настройки'!$D$367</definedName>
    <definedName name="Кирпич_CRH_WDF_214x98x66_мм_ручной_формовки_FB_RUSTIEK_GS">'[1]Настройки'!$D$308</definedName>
    <definedName name="Кирпич_CRH_WDF_214x98x66_мм_ручной_формовки_FB_RUVIO">'[1]Настройки'!$D$309</definedName>
    <definedName name="Кирпич_CRH_WDF_214x98x66_мм_ручной_формовки_FB_SEPIA_GS__заказ" localSheetId="5">'Кирпич CRH NL'!$D$394</definedName>
    <definedName name="Кирпич_CRH_WDF_214x98x66_мм_ручной_формовки_FB_SEPIA_GS__склад" localSheetId="5">'Кирпич CRH NL'!$D$395</definedName>
    <definedName name="Кирпич_CRH_WDF_214x98x66_мм_ручной_формовки_FB_SEPIA_GS_заказ_">'[1]Настройки'!$D$458</definedName>
    <definedName name="Кирпич_CRH_WDF_214x98x66_мм_ручной_формовки_FB_SEPIA_ONGESINTELD" localSheetId="5">'Кирпич CRH NL'!$D$396</definedName>
    <definedName name="Кирпич_CRH_WDF_214x98x66_мм_ручной_формовки_FB_SEPIA_SNOWDUST">'[1]Настройки'!$D$296</definedName>
    <definedName name="Кирпич_CRH_WDF_214x98x66_мм_ручной_формовки_FB_TERRA_COTTA_GS">'[1]Настройки'!$D$399</definedName>
    <definedName name="Кирпич_CRH_WDF_214x98x66_мм_ручной_формовки_FB_UMBER">'[1]Настройки'!$D$446</definedName>
    <definedName name="Кирпич_CRH_WDF_214x98x66_мм_ручной_формовки_FB_VIOLET">'[1]Настройки'!$D$368</definedName>
    <definedName name="Кирпич_CRH_WDF_214x98x66_мм_ручной_формовки_FB_VULCANO">'[1]Настройки'!$D$421</definedName>
    <definedName name="Кирпич_CRH_WDF_214x98x66_мм_ручной_формовки_FB_WIT">'[1]Настройки'!$D$310</definedName>
    <definedName name="Кирпич_CRH_WDF_214x98x66_мм_ручной_формовки_FB_WS_BRUIN" localSheetId="5">'Кирпич CRH NL'!$D$397</definedName>
    <definedName name="Кирпич_CRH_WDF_214x98x66_мм_ручной_формовки_FB_WS_BRUIN_ROOD">'[1]Настройки'!$D$369</definedName>
    <definedName name="Кирпич_CRH_WDF_214x98x66_мм_ручной_формовки_FB_WS_BRUIN_ROOD_BAUDELOO" localSheetId="5">'Кирпич CRH NL'!$D$398</definedName>
    <definedName name="Кирпич_CRH_WDF_214x98x66_мм_ручной_формовки_FB_WS_BRUIN_ROOD_GESMOORD">'[1]Настройки'!$D$447</definedName>
    <definedName name="Кирпич_CRH_WDF_214x98x66_мм_ручной_формовки_FB_WS_GARDA">'[1]Настройки'!$D$311</definedName>
    <definedName name="Кирпич_CRH_WDF_214x98x66_мм_ручной_формовки_FB_WS_GEEL">'[1]Настройки'!$D$312</definedName>
    <definedName name="Кирпич_CRH_WDF_214x98x66_мм_ручной_формовки_FB_WS_GEEL_GESMOORD">'[1]Настройки'!$D$422</definedName>
    <definedName name="Кирпич_CRH_WDF_214x98x66_мм_ручной_формовки_FB_WS_LADOGA">'[1]Настройки'!$D$313</definedName>
    <definedName name="Кирпич_CRH_WDF_214x98x66_мм_ручной_формовки_FB_WS_LUGANO" localSheetId="5">'Кирпич CRH NL'!$D$399</definedName>
    <definedName name="Кирпич_CRH_WDF_214x98x66_мм_ручной_формовки_FB_WS_ORANJE">'[1]Настройки'!$D$400</definedName>
    <definedName name="Кирпич_CRH_WDF_214x98x66_мм_ручной_формовки_FB_WS_ROOD">'[1]Настройки'!$D$370</definedName>
    <definedName name="Кирпич_CRH_WDF_214x98x66_мм_ручной_формовки_FB_WS_ROOD_GENUANCEERD">'[1]Настройки'!$D$371</definedName>
    <definedName name="Кирпич_CRH_WDF_214x98x66_мм_ручной_формовки_FB_WS_ROOD_GENUANCEERD_GESMOORD">'[1]Настройки'!$D$423</definedName>
    <definedName name="Кирпич_CRH_WDF_214x98x66_мм_ручной_формовки_FB_WS_ROOD_GESMOORD">'[1]Настройки'!$D$424</definedName>
    <definedName name="Кирпич_CRH_WDF_214x98x66_мм_ручной_формовки_FB_WS_SEPIA" localSheetId="5">'Кирпич CRH NL'!$D$400</definedName>
    <definedName name="Кирпич_CRH_WDF_214x98x66_мм_ручной_формовки_FB_WS_SEPIA_GESMOORD">'[1]Настройки'!$D$425</definedName>
    <definedName name="Кирпич_CRH_WDF_214x98x66_мм_ручной_формовки_FB_WS_SEVAN">'[1]Настройки'!$D$314</definedName>
    <definedName name="Кирпич_CRH_WDF_214x98x66_мм_ручной_формовки_FB_WS_WIT">'[1]Настройки'!$D$315</definedName>
    <definedName name="Кирпич_CRH_WDF_214x98x66_мм_ручной_формовки_FB_WS_WIT_GESMOORD">'[1]Настройки'!$D$426</definedName>
    <definedName name="Кирпич_CRH_WDF_214x98x66_мм_ручной_формовки_FB_WS_WIT_GS">'[1]Настройки'!$D$316</definedName>
    <definedName name="Кирпич_CRH_WDF_214x98x66_мм_ручной_формовки_FB_WS_WIT_GS_GESMOORD">'[1]Настройки'!$D$427</definedName>
    <definedName name="Кирпич_CRH_WDF_214x98x66_мм_ручной_формовки_FB_ZILVERWIT">'[1]Настройки'!$D$317</definedName>
    <definedName name="Кирпич_CRH_WDF_214x98x66_мм_ручной_формовки_FB_ZONNEGLOED">'[1]Настройки'!$D$372</definedName>
    <definedName name="Кирпич_CRH_WDF_214x98x66_мм_ручной_формовки_FB_ZWART_MANGAAN">'[1]Настройки'!$D$448</definedName>
    <definedName name="Кирпич_CRH_WDF_215_100_65_мм_ручной_формовки_FB_CARMINE">'[1]Настройки'!$D$250</definedName>
    <definedName name="Кирпич_CRH_WDF_215_100_65_мм_ручной_формовки_FB_CASTELLO">'[1]Настройки'!$D$252</definedName>
    <definedName name="Кирпич_CRH_WDF_215_100_65_мм_ручной_формовки_FB_GD">'[1]Настройки'!$D$253</definedName>
    <definedName name="Кирпич_CRH_WDF_215_100_65_мм_ручной_формовки_FB_L">'[1]Настройки'!$D$254</definedName>
    <definedName name="Кирпич_CRH_WDF_215_100_65_мм_ручной_формовки_FB_PURPLE">'[1]Настройки'!$D$258</definedName>
    <definedName name="Кирпич_CRH_WDF_215_100_65_мм_ручной_формовки_FB_RUSTIEK">'[1]Настройки'!$D$260</definedName>
    <definedName name="Кирпич_CRH_WDF_215_100_65_мм_ручной_формовки_FB_TERRA_COTTA">'[1]Настройки'!$D$262</definedName>
    <definedName name="Кирпич_CRH_WDF_215_100_65_мм_ручной_формовки_FB_TERRA_COTTA_склад">'[1]Настройки'!$D$263</definedName>
    <definedName name="Кирпич_CRH_WDF_215x100x65_мм_ручной_формовки_FB_ROSE_WIT">'[1]Настройки'!$D$285</definedName>
    <definedName name="Кирпич_CRH_WF_207x97x49_мм_ручной_формовки_FB_AGAATGRIJS">'[1]Настройки'!$D$428</definedName>
    <definedName name="Кирпич_CRH_WF_207x97x49_мм_ручной_формовки_FB_AKITA">'[1]Настройки'!$D$429</definedName>
    <definedName name="Кирпич_CRH_WF_207x97x49_мм_ручной_формовки_FB_ALU">'[1]Настройки'!$D$430</definedName>
    <definedName name="Кирпич_CRH_WF_207x97x49_мм_ручной_формовки_FB_ALU_SPECIAAL">'[1]Настройки'!$D$431</definedName>
    <definedName name="Кирпич_CRH_WF_207x97x49_мм_ручной_формовки_FB_AUTUMN" localSheetId="5">'Кирпич CRH NL'!$D$401</definedName>
    <definedName name="Кирпич_CRH_WF_207x97x49_мм_ручной_формовки_FB_BEIGE">'[1]Настройки'!$D$318</definedName>
    <definedName name="Кирпич_CRH_WF_207x97x49_мм_ручной_формовки_FB_CARMINE_GENUANCEERD">'[1]Настройки'!$D$374</definedName>
    <definedName name="Кирпич_CRH_WF_207x97x49_мм_ручной_формовки_FB_CARMINE_GS">'[1]Настройки'!$D$375</definedName>
    <definedName name="Кирпич_CRH_WF_207x97x49_мм_ручной_формовки_FB_CASTELLO_GEEL">'[1]Настройки'!$D$319</definedName>
    <definedName name="Кирпич_CRH_WF_207x97x49_мм_ручной_формовки_FB_CASTELLO_ORANJE">'[1]Настройки'!$D$401</definedName>
    <definedName name="Кирпич_CRH_WF_207x97x49_мм_ручной_формовки_FB_CLASSIC_CARMINE">'[1]Настройки'!$D$376</definedName>
    <definedName name="Кирпич_CRH_WF_207x97x49_мм_ручной_формовки_FB_CLASSIC_FBL">'[1]Настройки'!$D$320</definedName>
    <definedName name="Кирпич_CRH_WF_207x97x49_мм_ручной_формовки_FB_CLASSIC_ROOD">'[1]Настройки'!$D$377</definedName>
    <definedName name="Кирпич_CRH_WF_207x97x49_мм_ручной_формовки_FB_CLASSIC_SEPIA" localSheetId="5">'Кирпич CRH NL'!$D$402</definedName>
    <definedName name="Кирпич_CRH_WF_207x97x49_мм_ручной_формовки_FB_CREME_WIT">'[1]Настройки'!$D$321</definedName>
    <definedName name="Кирпич_CRH_WF_207x97x49_мм_ручной_формовки_FB_ETNA">'[1]Настройки'!$D$432</definedName>
    <definedName name="Кирпич_CRH_WF_207x97x49_мм_ручной_формовки_FB_HAVANNA">'[1]Настройки'!$D$402</definedName>
    <definedName name="Кирпич_CRH_WF_207x97x49_мм_ручной_формовки_FB_HAVANNA_GS">'[1]Настройки'!$D$403</definedName>
    <definedName name="Кирпич_CRH_WF_207x97x49_мм_ручной_формовки_FB_KARDINAAL_ROOD_GS">'[1]Настройки'!$D$378</definedName>
    <definedName name="Кирпич_CRH_WF_207x97x49_мм_ручной_формовки_FB_KARDINAAL_ROOD_METALLIC">'[1]Настройки'!$D$379</definedName>
    <definedName name="Кирпич_CRH_WF_207x97x49_мм_ручной_формовки_FB_KIEZELGRIJS">'[1]Настройки'!$D$433</definedName>
    <definedName name="Кирпич_CRH_WF_207x97x49_мм_ручной_формовки_FB_L_GS">'[1]Настройки'!$D$322</definedName>
    <definedName name="Кирпич_CRH_WF_207x97x49_мм_ручной_формовки_FB_LUCCA">'[1]Настройки'!$D$381</definedName>
    <definedName name="Кирпич_CRH_WF_207x97x49_мм_ручной_формовки_FB_NEVADO_GEEL_GESMOORD">'[1]Настройки'!$D$434</definedName>
    <definedName name="Кирпич_CRH_WF_207x97x49_мм_ручной_формовки_FB_ORANJE">'[1]Настройки'!$D$404</definedName>
    <definedName name="Кирпич_CRH_WF_207x97x49_мм_ручной_формовки_FB_ORANJE_BLAUW_ZAND">'[1]Настройки'!$D$405</definedName>
    <definedName name="Кирпич_CRH_WF_207x97x49_мм_ручной_формовки_FB_OUD_EIK" localSheetId="5">'Кирпич CRH NL'!$D$403</definedName>
    <definedName name="Кирпич_CRH_WF_207x97x49_мм_ручной_формовки_FB_PICO">'[1]Настройки'!$D$449</definedName>
    <definedName name="Кирпич_CRH_WF_207x97x49_мм_ручной_формовки_FB_PINTA">'[1]Настройки'!$D$435</definedName>
    <definedName name="Кирпич_CRH_WF_207x97x49_мм_ручной_формовки_FB_PURPLE_GS">'[1]Настройки'!$D$383</definedName>
    <definedName name="Кирпич_CRH_WF_207x97x49_мм_ручной_формовки_FB_RAINBOW_GREYDUST">'[1]Настройки'!$D$297</definedName>
    <definedName name="Кирпич_CRH_WF_207x97x49_мм_ручной_формовки_FB_RAINBOW_SNOWDUST">'[1]Настройки'!$D$298</definedName>
    <definedName name="Кирпич_CRH_WF_207x97x49_мм_ручной_формовки_FB_RAINBOW_WIT">'[1]Настройки'!$D$299</definedName>
    <definedName name="Кирпич_CRH_WF_207x97x49_мм_ручной_формовки_FB_RAINBOW_ZILVER">'[1]Настройки'!$D$436</definedName>
    <definedName name="Кирпич_CRH_WF_207x97x49_мм_ручной_формовки_FB_RETRO">'[1]Настройки'!$D$323</definedName>
    <definedName name="Кирпич_CRH_WF_207x97x49_мм_ручной_формовки_FB_ROOD_GS">'[1]Настройки'!$D$384</definedName>
    <definedName name="Кирпич_CRH_WF_207x97x49_мм_ручной_формовки_FB_RUSTIEK_GS">'[1]Настройки'!$D$324</definedName>
    <definedName name="Кирпич_CRH_WF_207x97x49_мм_ручной_формовки_FB_RUVIO">'[1]Настройки'!$D$325</definedName>
    <definedName name="Кирпич_CRH_WF_207x97x49_мм_ручной_формовки_FB_SEPIA_GS" localSheetId="5">'Кирпич CRH NL'!$D$404</definedName>
    <definedName name="Кирпич_CRH_WF_207x97x49_мм_ручной_формовки_FB_SEPIA_ONGESINTELD" localSheetId="5">'Кирпич CRH NL'!$D$405</definedName>
    <definedName name="Кирпич_CRH_WF_207x97x49_мм_ручной_формовки_FB_SEPIA_SNOWDUST">'[1]Настройки'!$D$300</definedName>
    <definedName name="Кирпич_CRH_WF_207x97x49_мм_ручной_формовки_FB_TERRA_COTTA_GS">'[1]Настройки'!$D$407</definedName>
    <definedName name="Кирпич_CRH_WF_207x97x49_мм_ручной_формовки_FB_UMBER">'[1]Настройки'!$D$450</definedName>
    <definedName name="Кирпич_CRH_WF_207x97x49_мм_ручной_формовки_FB_VIOLET">'[1]Настройки'!$D$385</definedName>
    <definedName name="Кирпич_CRH_WF_207x97x49_мм_ручной_формовки_FB_VULCANO">'[1]Настройки'!$D$437</definedName>
    <definedName name="Кирпич_CRH_WF_207x97x49_мм_ручной_формовки_FB_WIT">'[1]Настройки'!$D$326</definedName>
    <definedName name="Кирпич_CRH_WF_207x97x49_мм_ручной_формовки_FB_WS_BRUIN_ROOD">'[1]Настройки'!$D$386</definedName>
    <definedName name="Кирпич_CRH_WF_207x97x49_мм_ручной_формовки_FB_WS_BRUIN_ROOD_BAUDELOO" localSheetId="5">'Кирпич CRH NL'!$D$406</definedName>
    <definedName name="Кирпич_CRH_WF_207x97x49_мм_ручной_формовки_FB_WS_BRUIN_ROOD_GESMOORD">'[1]Настройки'!$D$451</definedName>
    <definedName name="Кирпич_CRH_WF_207x97x49_мм_ручной_формовки_FB_WS_GEEL">'[1]Настройки'!$D$327</definedName>
    <definedName name="Кирпич_CRH_WF_207x97x49_мм_ручной_формовки_FB_WS_GEEL_GESMOORD">'[1]Настройки'!$D$438</definedName>
    <definedName name="Кирпич_CRH_WF_207x97x49_мм_ручной_формовки_FB_WS_LADOGA">'[1]Настройки'!$D$328</definedName>
    <definedName name="Кирпич_CRH_WF_207x97x49_мм_ручной_формовки_FB_WS_ORANJE">'[1]Настройки'!$D$408</definedName>
    <definedName name="Кирпич_CRH_WF_207x97x49_мм_ручной_формовки_FB_WS_ROOD">'[1]Настройки'!$D$387</definedName>
    <definedName name="Кирпич_CRH_WF_207x97x49_мм_ручной_формовки_FB_WS_ROOD_GENUANCEERD">'[1]Настройки'!$D$388</definedName>
    <definedName name="Кирпич_CRH_WF_207x97x49_мм_ручной_формовки_FB_WS_ROOD_GENUANCEERD_GESMOORD">'[1]Настройки'!$D$439</definedName>
    <definedName name="Кирпич_CRH_WF_207x97x49_мм_ручной_формовки_FB_WS_ROOD_GESMOORD">'[1]Настройки'!$D$440</definedName>
    <definedName name="Кирпич_CRH_WF_207x97x49_мм_ручной_формовки_FB_WS_SEPIA" localSheetId="5">'Кирпич CRH NL'!$D$407</definedName>
    <definedName name="Кирпич_CRH_WF_207x97x49_мм_ручной_формовки_FB_WS_SEPIA_GESMOORD">'[1]Настройки'!$D$441</definedName>
    <definedName name="Кирпич_CRH_WF_207x97x49_мм_ручной_формовки_FB_WS_WIT">'[1]Настройки'!$D$329</definedName>
    <definedName name="Кирпич_CRH_WF_207x97x49_мм_ручной_формовки_FB_WS_WIT_GESMOORD">'[1]Настройки'!$D$442</definedName>
    <definedName name="Кирпич_CRH_WF_207x97x49_мм_ручной_формовки_FB_WS_WIT_GS">'[1]Настройки'!$D$330</definedName>
    <definedName name="Кирпич_CRH_WF_207x97x49_мм_ручной_формовки_FB_WS_WIT_GS_GESMOORD">'[1]Настройки'!$D$443</definedName>
    <definedName name="Кирпич_CRH_WF_207x97x49_мм_ручной_формовки_FB_ZILVERWIT">'[1]Настройки'!$D$331</definedName>
    <definedName name="Кирпич_CRH_WF_207x97x49_мм_ручной_формовки_FB_ZWART_MANGAAN">'[1]Настройки'!$D$452</definedName>
    <definedName name="Кирпич_CRH_WF_210_100_50_мм_ручной_формовки_FB_CARMINE">'[1]Настройки'!$D$270</definedName>
    <definedName name="Кирпич_CRH_WF_210_100_50_мм_ручной_формовки_FB_CASTELLO">'[1]Настройки'!$D$274</definedName>
    <definedName name="Кирпич_CRH_WF_210_100_50_мм_ручной_формовки_FB_GD">'[1]Настройки'!$D$275</definedName>
    <definedName name="Кирпич_CRH_WF_210_100_50_мм_ручной_формовки_FB_L">'[1]Настройки'!$D$277</definedName>
    <definedName name="Кирпич_CRH_WF_210_100_50_мм_ручной_формовки_FB_PURPLE">'[1]Настройки'!$D$278</definedName>
    <definedName name="Кирпич_CRH_WF_210_100_50_мм_ручной_формовки_FB_RUSTIEK">'[1]Настройки'!$D$280</definedName>
    <definedName name="Кирпич_CRH_WF_210_100_50_мм_ручной_формовки_FB_TERRA_COTTA">'[1]Настройки'!$D$282</definedName>
    <definedName name="Кирпич_CRH_WF_210_100_50_мм_ручной_формовки_OUD_MAAS">'[1]Настройки'!$D$286</definedName>
    <definedName name="Кирпич_K280NF_Feldhaus_Klinker_NF_240x115x71_мм_Nolani_liso">'[1]Настройки'!$F$590</definedName>
    <definedName name="Кирпич_K286NF_Feldhaus_Klinker_NF_240x115x71_мм_Nolani_viva_rustico_carbo">'[1]Настройки'!$F$593</definedName>
    <definedName name="Кирпич_K286NF90_Feldhaus_Klinker_NF_240x90x71_мм_Nolani_viva_rustico_carbo">'[1]Настройки'!$F$594</definedName>
    <definedName name="Кирпич_K3002DF_Feldhaus_Klinker_2DF_240x115x113_мм_Lava_liso">'[1]Настройки'!$F$561</definedName>
    <definedName name="Кирпич_K300DF_Feldhaus_Klinker_DF_240x115x52_мм_Lava_liso">'[1]Настройки'!$F$562</definedName>
    <definedName name="Кирпич_K300NF_Feldhaus_Klinker_NF_240x115x71_мм_Lava_liso">'[1]Настройки'!$F$563</definedName>
    <definedName name="Кирпич_K300NF90_Feldhaus_Klinker_NF_240x90x71_мм_Lava_liso">'[1]Настройки'!$F$564</definedName>
    <definedName name="Кирпич_K301NF_Feldhaus_Klinker_NF_240x115x71_мм_Lava_rugo">'[1]Настройки'!$F$671</definedName>
    <definedName name="Кирпич_K328NF_Feldhaus_Klinker_NF_240x115x71_мм_Carmesi_multi_vascu">'[1]Настройки'!$F$483</definedName>
    <definedName name="Кирпич_K328NF90_Feldhaus_Klinker_NF_240x90x71_мм_Carmesi_multi_vascu">'[1]Настройки'!$F$484</definedName>
    <definedName name="Кирпич_K335DF_Feldhaus_Klinker_DF_240x115x52_мм_Carmesi_antic_mana">'[1]Настройки'!$F$485</definedName>
    <definedName name="Кирпич_K335NF_Feldhaus_Klinker_NF_240x115x71_мм_Carmesi_antic_mana">'[1]Настройки'!$F$486</definedName>
    <definedName name="Кирпич_K335NF90_Feldhaus_Klinker_NF_240x90x71_мм_Carmesi_antic_mana">'[1]Настройки'!$F$487</definedName>
    <definedName name="Кирпич_K345NF_Feldhaus_Klinker_NF_240x115x71_мм_Carmesi_aczent_mana">'[1]Настройки'!$F$488</definedName>
    <definedName name="Кирпич_K345NF90_Feldhaus_KlinkerNF_240x90x71_мм_Carmesi_aczent_mana">'[1]Настройки'!$F$489</definedName>
    <definedName name="Кирпич_K3502DF_Feldhaus_Klinker_2DF_240x115x113_мм_Lava_maris_liso">'[1]Настройки'!$F$567</definedName>
    <definedName name="Кирпич_K350NF_Feldhaus_Klinker_NF_240x115x71_мм_Lava_maris_liso">'[1]Настройки'!$F$568</definedName>
    <definedName name="Кирпич_K364NF_Feldhaus_Klinker_NF_240x115x71_мм_Lava_azur_liso">'[1]Настройки'!$F$573</definedName>
    <definedName name="Кирпич_K364NF90_Feldhaus_Klinker_NF_240x90x71_мм_Lava_azur_liso">'[1]Настройки'!$F$574</definedName>
    <definedName name="Кирпич_K366DF_Feldhaus_Klinker_DF_240x115x52_мм_Lava_ciaro_liso">'[1]Настройки'!$F$575</definedName>
    <definedName name="Кирпич_K366NF_Feldhaus_Klinker_NF_240x115x71_мм_Lava_ciaro_liso">'[1]Настройки'!$F$576</definedName>
    <definedName name="Кирпич_K366NF90_Feldhaus_Klinker_NF_240x90x71_мм_Lava_ciaro_liso">'[1]Настройки'!$F$672</definedName>
    <definedName name="Кирпич_K377DF_Feldhaus_Klinker_DF_240x115x52_мм_Lava_maron_rustico">'[1]Настройки'!$F$578</definedName>
    <definedName name="Кирпич_K377NF_Feldhaus_Klinker_NF_240x115x71_мм_Lava_maron_rustico">'[1]Настройки'!$F$579</definedName>
    <definedName name="Кирпич_K377NF90_Feldhaus_Klinker_NF_240x90x71_мм_Lava_maron_rustico">'[1]Настройки'!$F$580</definedName>
    <definedName name="Кирпич_K3802DF_Feldhaus_Klinker_2DF_240x115x113_мм_Cerasi_azur_liso">'[1]Настройки'!$F$535</definedName>
    <definedName name="Кирпич_K380NF_Feldhaus_Klinker_NF_240x115x71_мм_Cerasi_azur_liso">'[1]Настройки'!$F$536</definedName>
    <definedName name="Кирпич_K385NF90_Feldhaus_Klinker_NF_240x90x71_мм_Cerasi_maritim">'[1]Настройки'!$F$537</definedName>
    <definedName name="Кирпич_K3882DF_Feldhaus_Klinker_2DF_240x115x113_мм_Cerasi_ferrum_liso">'[1]Настройки'!$F$538</definedName>
    <definedName name="Кирпич_K388NF_Feldhaus_Klinker_NF_240x115x71_мм_Cerasi_ferrum_liso">'[1]Настройки'!$F$539</definedName>
    <definedName name="Кирпич_K396DF_Feldhaus_Klinker_DF_240x115x52_мм_Lava_maron_senso">'[1]Настройки'!$F$581</definedName>
    <definedName name="Кирпич_K396NF_Feldhaus_Klinker_NF_240x115x71_мм_Lava_maron_senso">'[1]Настройки'!$F$582</definedName>
    <definedName name="Кирпич_K4002DF_Feldhaus_Klinker_2DF_240x115x113_мм_Carmesi_liso">'[1]Настройки'!$F$491</definedName>
    <definedName name="Кирпич_K400DF_Feldhaus_Klinker_DF_240x115x52_мм_Carmesi_liso">'[1]Настройки'!$F$492</definedName>
    <definedName name="Кирпич_K400NF_Feldhaus_Klinker_NF_240x115x71_мм_Carmesi_liso">'[1]Настройки'!$F$493</definedName>
    <definedName name="Кирпич_K400NF90_Feldhaus_Klinker_NF_240x90x71_мм_Carmesi_liso">'[1]Настройки'!$F$494</definedName>
    <definedName name="Кирпич_K400RF_Feldhaus_Klinker_RF_240x115x65_мм_Carmesi_liso">'[1]Настройки'!$F$495</definedName>
    <definedName name="Кирпич_K401NF_Feldhaus_Klinker_NF_240x115x71_мм_Carmesi_rugo">'[1]Настройки'!$F$496</definedName>
    <definedName name="Кирпич_K435DF_Feldhaus_Klinker_DF_240x115x52_мм_Carmesi_mana">'[1]Настройки'!$F$497</definedName>
    <definedName name="Кирпич_K435NF_Feldhaus_Klinker_NF_240x115x71_мм_Carmesi_mana">'[1]Настройки'!$F$498</definedName>
    <definedName name="Кирпич_K435NF90_Feldhaus_Klinker_NF_240x90x71_мм_Carmesi_mana">'[1]Настройки'!$F$499</definedName>
    <definedName name="Кирпич_K440DF_Feldhaus_Klinker_DF_240x115x52_мм_Carmesi_senso">'[1]Настройки'!$F$500</definedName>
    <definedName name="Кирпич_K440NF_Feldhaus_Klinker_NF_240x115x71_мм_Carmesi_senso">'[1]Настройки'!$F$501</definedName>
    <definedName name="Кирпич_K440NF90_Feldhaus_Klinker_NF_240x90x71_мм_Carmesi_senso">'[1]Настройки'!$F$502</definedName>
    <definedName name="Кирпич_K440RF_Feldhaus_Klinker_RF_240x115x65_мм_Carmesi_senso">'[1]Настройки'!$F$503</definedName>
    <definedName name="Кирпич_K500DF_Feldhaus_Klinker_DF_240x115x52_мм_Geo_liso">'[1]Настройки'!$F$545</definedName>
    <definedName name="Кирпич_K500NF_Feldhaus_Klinker_NF_240x115x71_мм_Geo_liso">'[1]Настройки'!$F$556</definedName>
    <definedName name="Кирпич_K500NF90_Feldhaus_Klinker_NF_240x90x71_мм_Geo_liso">'[1]Настройки'!$F$546</definedName>
    <definedName name="Кирпич_K508NF_Feldhaus_Klinker_NF_240x115x71_мм_Geo_ferrum_liso">'[1]Настройки'!$F$547</definedName>
    <definedName name="Кирпич_K520NF_Feldhaus_Klinker_NF_240x115x71_мм_Geo_maris_liso">'[1]Настройки'!$F$549</definedName>
    <definedName name="Кирпич_K520NF90_Feldhaus_Klinker_NF_240x90x71_мм_Geo_maris_liso">'[1]Настройки'!$F$550</definedName>
    <definedName name="Кирпич_K535NF_Feldhaus_Klinker_NF_240x115x71_мм_Terra_mana">'[1]Настройки'!$F$651</definedName>
    <definedName name="Кирпич_K535NF90_Feldhaus_Klinker_NF_240x90x71_мм_Terra_mana">'[1]Настройки'!$F$652</definedName>
    <definedName name="Кирпич_K540DF_Feldhaus_Klinker_DF_240x115x52_мм_Geo_senso">'[1]Настройки'!$F$551</definedName>
    <definedName name="Кирпич_K540NF_Feldhaus_Klinker_NF_240x115x71_мм_Geo_senso">'[1]Настройки'!$F$552</definedName>
    <definedName name="Кирпич_K550NF_Feldhaus_Klinker_NF_240x115x71_мм_Geo_sabio">'[1]Настройки'!$F$553</definedName>
    <definedName name="Кирпич_K555NF_Feldhaus_Klinker_NF_240x115x71_мм_Terra_antic_mana">'[1]Настройки'!$F$653</definedName>
    <definedName name="Кирпич_K661NF_Feldhaus_Klinker_NF_240x115x71_мм_Sintra_lava_maris">'[1]Настройки'!$F$602</definedName>
    <definedName name="Кирпич_K662NF_Feldhaus_Klinker_NF_240x115x71_мм_Sintra_lava_azur">'[1]Настройки'!$F$604</definedName>
    <definedName name="Кирпич_K663NF_Feldhaus_Klinker_NF_240x115x71_мм_Sintra_cerasi_nelino">'[1]Настройки'!$F$607</definedName>
    <definedName name="Кирпич_K682NF_Feldhaus_Klinker_NF_240x115x71_мм_Sintra_argo_blanco">'[1]Настройки'!$F$614</definedName>
    <definedName name="Кирпич_K682WDF_Feldhaus_Klinker_WDF_215x102x65_мм_Sintra_argo_blanco">'[1]Настройки'!$F$616</definedName>
    <definedName name="Кирпич_K684NF_Feldhaus_Klinker_NF_240x115x71_мм_Sintra_nolani_ocasa">'[1]Настройки'!$F$617</definedName>
    <definedName name="Кирпич_K684NF_Feldhaus_Klinker_NF_240x115x71_мм_Sintra_nolani_ocasa__без_нагара">'[1]Настройки'!$F$618</definedName>
    <definedName name="Кирпич_K684WDF_Feldhaus_Klinker_WDF_215x102x65_мм_Sintra_nolani_ocasa">'[1]Настройки'!$F$621</definedName>
    <definedName name="Кирпич_K684WDF_Feldhaus_Klinker_WDF_215x102x65_мм_Sintra_nolani_ocasa__без_нагара">'[1]Настройки'!$F$622</definedName>
    <definedName name="Кирпич_K685NF_Feldhaus_Klinker_NF_240x115x71_мм_Sintra_ardor_nelino">'[1]Настройки'!$F$623</definedName>
    <definedName name="Кирпич_K685WDF_Feldhaus_Klinker_WDF_215x102x65_мм_Sintra_ardor_nelino">'[1]Настройки'!$F$625</definedName>
    <definedName name="Кирпич_K686NF_Feldhaus_Klinker_NF_240x115x71_мм_Sintra_ardor_calino">'[1]Настройки'!$F$626</definedName>
    <definedName name="Кирпич_K686WDF_Feldhaus_Klinker_WDF_215x102x65_мм_Sintra_ardor_calino">'[1]Настройки'!$F$628</definedName>
    <definedName name="Кирпич_K689NF_Feldhaus_Klinker_NF_240x115x71_мм_Sintra_ardor">'[1]Настройки'!$F$636</definedName>
    <definedName name="Кирпич_K689WDF_Feldhaus_Klinker_WDF_215x102x65_мм_Sintra_ardor">'[1]Настройки'!$F$638</definedName>
    <definedName name="Кирпич_K690NF_Feldhaus_Klinker_NF_240x115x71_мм_Sintra_ardor_blanca">'[1]Настройки'!$F$639</definedName>
    <definedName name="Кирпич_K690WDF_Feldhaus_Klinker_WDF_215x102x65_мм_Sintra_ardor_blanca">'[1]Настройки'!$F$641</definedName>
    <definedName name="Кирпич_K697NF_Feldhaus_Klinker_NF_240x115x71_мм_Sintra_geo">'[1]Настройки'!$F$648</definedName>
    <definedName name="Кирпич_K697WDF_Feldhaus_Klinker_WDF_215x102x65_мм_Sintra_geo">'[1]Настройки'!$F$650</definedName>
    <definedName name="Кирпич_K723NF_Feldhaus_Klinker_NF_240x115x71_мм_Vascu_sabioso_rotado">'[1]Настройки'!$F$675</definedName>
    <definedName name="Кирпич_K724NF_Feldhaus_Klinker_NF_240x115x71_мм_Vascu_sabioso_bora">'[1]Настройки'!$F$674</definedName>
    <definedName name="Кирпич_K734NF_Feldhaus_Klinker_NF_240x115x71_мм_Vascu_sabioso_ocasa">'[1]Настройки'!$F$673</definedName>
    <definedName name="Кирпич_K745NF_Feldhaus_Klinker_NF_240x115x71_мм_Vascu_geo_venito">'[1]Настройки'!$F$676</definedName>
    <definedName name="Кирпич_K746NF_Feldhaus_Klinker_NF_240x115x71_мм_Vascu_cerasi_rotado">'[1]Настройки'!$F$677</definedName>
    <definedName name="Кирпич_K747NF_Feldhaus_Klinker_NF_240x115x71_мм_Vascu_geo_legoro">'[1]Настройки'!$F$678</definedName>
    <definedName name="Кирпич_K748NF_Feldhaus_Klinker_NF_240x115x71_мм_Vascu_geo_merleso">'[1]Настройки'!$F$679</definedName>
    <definedName name="Кирпич_K750NF_Feldhaus_Klinker_NF_240x115x71_мм_Vascu_ardor_rotado">'[1]Настройки'!$F$659</definedName>
    <definedName name="Кирпич_K752NF_Feldhaus_Klinker_NF_240x115x71_мм_Vascu_ardor_carbo">'[1]Настройки'!$F$661</definedName>
    <definedName name="Кирпич_K764DF_Feldhaus_Klinker_DF_240x115x52_мм_Vascu_argo_rotado">'[1]Настройки'!$F$681</definedName>
    <definedName name="Кирпич_K773NF_Feldhaus_Klinker_NF_240x115x71_мм_Vascu_argo_antrablanka">'[1]Настройки'!$F$680</definedName>
    <definedName name="Кирпич_S300DF_Feldhaus_Klinker_DF_240x52x52_мм_Lava_liso">'[1]Настройки'!$F$583</definedName>
    <definedName name="Кирпич_S335DF_Feldhaus_Klinker_DF_240x52x52_мм_Carmesi_antic_mana">'[1]Настройки'!$F$505</definedName>
    <definedName name="Кирпич_S400DF_Feldhaus_Klinker_DF_240x52x52_мм_Carmesi_liso">'[1]Настройки'!$F$507</definedName>
    <definedName name="Кирпич_S400NF_Feldhaus_Klinker_NF_240x52x71_мм_Carmesi_liso">'[1]Настройки'!$F$508</definedName>
    <definedName name="Кирпич_S440DF_Feldhaus_Klinker_DF_240x52x52_мм_Carmesi_senso">'[1]Настройки'!$F$511</definedName>
    <definedName name="Кирпич_WDF_SEPIA_GS">'[1]Настройки'!$D$288</definedName>
    <definedName name="Кирпич_WF_SEPIA_GS">'[1]Настройки'!$D$287</definedName>
    <definedName name="Кирпич_круглый_25102521_TERCA_Est_ФАТ6585_M_250х85х65_мм_гладкий_редуцированный_RED_FLAME_красный">'[2]Настройки'!$C$186</definedName>
    <definedName name="Кирпич_круглый_25102723_TERCA_Est_ВАТ65_M_250х120х65_мм_гладкий_TERRA_коричневый">'[2]Настройки'!$C$201</definedName>
    <definedName name="Кирпич_круглый_25102753_TERCA_Est_ФАТ6585_M_250х85х65_мм_шероховатый_TERRA_коричневый">'[2]Настройки'!$C$203</definedName>
    <definedName name="Кирпич_круглый_25102773_TERCA_Est_ФАТ6585_M_250х85х65_мм_RIFF_TERRA_коричневый">'[2]Настройки'!$C$205</definedName>
    <definedName name="Кирпич_круглый_25103113_TERCA_Est_ФАТ6585_M_250х85х65_мм_шероховатый_SAFARI_желтый">'[2]Настройки'!$C$226</definedName>
    <definedName name="Кирпич_круглый_25103143_TERCA_Est_ФАТ6585_M_250х85х65_мм_RIFF_SAFARI_желтый">'[2]Настройки'!$C$228</definedName>
    <definedName name="Кирпич_полнотелый_34475210_TERCA_Ger_NF_240x115x71_мм_wasserstrich_HKS_Rot">'[1]Настройки'!$E$954</definedName>
    <definedName name="Кирпич_полнотелый_34476220_TERCA_Ger_NF_240x115x71_мм_wasserstrich_HKS_Bunt">'[1]Настройки'!$E$957</definedName>
    <definedName name="Кирпич_полнотелый_34477220_TERCA_Ger_NF_240x115x71_мм_wasserstrich_rustikal_RBB_blaubunt">'[1]Настройки'!$E$958</definedName>
    <definedName name="Кирпич_полнотелый_CRH_RF_250_120_65_мм_гладкий_Alfa">'[1]Настройки'!$E$745</definedName>
    <definedName name="Кирпич_полнотелый_CRH_RF_250_120_65_мм_гладкий_Carbon">'[1]Настройки'!$E$792</definedName>
    <definedName name="Кирпич_полнотелый_CRH_RF_250_120_65_мм_гладкий_Cherry">'[1]Настройки'!$E$746</definedName>
    <definedName name="Кирпич_полнотелый_CRH_RF_250_120_65_мм_гладкий_Etna">'[1]Настройки'!$E$770</definedName>
    <definedName name="Кирпич_полнотелый_CRH_RF_250_120_65_мм_гладкий_Gobi_N">'[1]Настройки'!$E$726</definedName>
    <definedName name="Кирпич_полнотелый_CRH_RF_250_120_65_мм_гладкий_Gotika">'[1]Настройки'!$E$747</definedName>
    <definedName name="Кирпич_полнотелый_CRH_RF_250_120_65_мм_гладкий_Kalahari">'[1]Настройки'!$E$748</definedName>
    <definedName name="Кирпич_полнотелый_CRH_RF_250_120_65_мм_гладкий_Kalahari_Ton">'[1]Настройки'!$E$749</definedName>
    <definedName name="Кирпич_полнотелый_CRH_RF_250_120_65_мм_гладкий_Luna">'[1]Настройки'!$E$771</definedName>
    <definedName name="Кирпич_полнотелый_CRH_RF_250_120_65_мм_гладкий_Ochra">'[1]Настройки'!$E$702</definedName>
    <definedName name="Кирпич_полнотелый_CRH_RF_250_120_65_мм_гладкий_Ochra_Ton">'[1]Настройки'!$E$703</definedName>
    <definedName name="Кирпич_полнотелый_CRH_RF_250_120_65_мм_гладкий_Orion_N">'[1]Настройки'!$E$727</definedName>
    <definedName name="Кирпич_полнотелый_CRH_RF_250_120_65_мм_гладкий_Pegaz_N">'[1]Настройки'!$E$772</definedName>
    <definedName name="Кирпич_полнотелый_CRH_RF_250_120_65_мм_гладкий_Rubin_cieniowany">'[1]Настройки'!$E$750</definedName>
    <definedName name="Кирпич_полнотелый_CRH_RF_250_120_65_мм_гладкий_Sahara">'[1]Настройки'!$E$704</definedName>
    <definedName name="Кирпич_полнотелый_CRH_RF_250_120_65_мм_гладкий_Sahara_Cieniowana">'[1]Настройки'!$E$705</definedName>
    <definedName name="Кирпич_полнотелый_CRH_RF_250_120_65_мм_гладкий_Sahara_Miodowa">'[1]Настройки'!$E$706</definedName>
    <definedName name="Кирпич_полнотелый_CRH_RF_250_120_65_мм_гладкий_Sahara_Piaskowa">'[1]Настройки'!$E$707</definedName>
    <definedName name="Кирпич_полнотелый_CRH_RF_250_120_65_мм_гладкий_Sahara_Ton">'[1]Настройки'!$E$708</definedName>
    <definedName name="Кирпич_полнотелый_CRH_RF_250_120_65_мм_гладкий_Solar">'[1]Настройки'!$E$709</definedName>
    <definedName name="Кирпич_полнотелый_CRH_RF_250_120_65_мм_гладкий_Starobrowarna">'[1]Настройки'!$E$751</definedName>
    <definedName name="Кирпич_полнотелый_CRH_RF_250_120_65_мм_гладкий_Syriusz_cieniowany">'[1]Настройки'!$E$787</definedName>
    <definedName name="Кирпич_полнотелый_CRH_RF_250_120_65_мм_гладкий_Tybet_cieniowany">'[1]Настройки'!$E$788</definedName>
    <definedName name="Кирпич_полнотелый_CRH_RF_250_120_65_мм_гладкий_Tytan_N">'[1]Настройки'!$E$789</definedName>
    <definedName name="Кирпич_полнотелый_CRH_RF_250_120_65_мм_гладкий_Wega">'[1]Настройки'!$E$728</definedName>
    <definedName name="Кирпич_полнотелый_CRH_RF_250_120_65_мм_гладкий_Wega_N">'[1]Настройки'!$E$729</definedName>
    <definedName name="Кирпич_полнотелый_CRH_RF_250_120_65_мм_структурированный_Arizona">'[1]Настройки'!$E$710</definedName>
    <definedName name="Кирпич_полнотелый_CRH_RF_250_120_65_мм_структурированный_Classic">'[1]Настройки'!$E$773</definedName>
    <definedName name="Кирпич_пустотелый_34481045_TERCA_Ger_NF_240x115x71_мм_glatt_KBB_f_Blau_nuanciert">'[1]Настройки'!$E$964</definedName>
    <definedName name="Кирпич_пятищелевой_CRH_RF_250_120_65_мм_гладкий_Alfa">'[1]Настройки'!$E$752</definedName>
    <definedName name="Кирпич_пятищелевой_CRH_RF_250_120_65_мм_гладкий_Etna">'[1]Настройки'!$E$776</definedName>
    <definedName name="Кирпич_пятищелевой_CRH_RF_250_120_65_мм_гладкий_Kalahari_Ton">'[1]Настройки'!$E$754</definedName>
    <definedName name="Кирпич_пятищелевой_CRH_RF_250_120_65_мм_гладкий_Ochra">'[1]Настройки'!$E$715</definedName>
    <definedName name="Кирпич_пятищелевой_CRH_RF_250_120_65_мм_гладкий_Sahara">'[1]Настройки'!$E$716</definedName>
    <definedName name="Кирпич_пятищелевой_CRH_RF_250_120_65_мм_гладкий_Sahara_Miodowa">'[1]Настройки'!$E$717</definedName>
    <definedName name="Кирпич_пятищелевой_CRH_RF_250_120_65_мм_гладкий_Super">'[1]Настройки'!$E$777</definedName>
    <definedName name="Кирпич_пятищелевой_CRH_RF_250_120_65_мм_структурированный_Antica">'[1]Настройки'!$E$778</definedName>
    <definedName name="Кирпич_пятищелевой_CRH_RF_250_120_65_мм_структурированный_Classic">'[1]Настройки'!$E$779</definedName>
    <definedName name="Кирпич_пятищелевой_CRH_RF_250_120_65_мм_структурированный_Rustica">'[1]Настройки'!$E$780</definedName>
    <definedName name="Кирпич_пятищелевой_CRH_RF_250x120x65_мм_гладкий_Sahara_Ton">'[1]Настройки'!$C$463</definedName>
    <definedName name="курс_евро">'[1]Настройки'!$B$21</definedName>
    <definedName name="номер_листа_1">'[2]Настройки'!$C$292</definedName>
    <definedName name="номер_страницы_2">'[1]Настройки'!$B$35</definedName>
    <definedName name="номер_страницы_3">'[1]Настройки'!$B$36</definedName>
    <definedName name="номер_страницы_4">'[1]Настройки'!$B$37</definedName>
    <definedName name="номер_страницы_5">'[1]Настройки'!$B$38</definedName>
    <definedName name="номер_страницы_6">'[1]Настройки'!$B$39</definedName>
    <definedName name="номер_страницы_7">'[1]Настройки'!$B$40</definedName>
    <definedName name="_xlnm.Print_Area" localSheetId="5">'Кирпич CRH NL'!$B$2:$M$219</definedName>
    <definedName name="_xlnm.Print_Area" localSheetId="6">'Кирпич CRH PL'!$B$3:$M$156</definedName>
    <definedName name="_xlnm.Print_Area" localSheetId="1">'Кирпич Feldhaus Klinker'!$C$3:$M$148</definedName>
    <definedName name="_xlnm.Print_Area" localSheetId="2">'Кирпич Terca BEL-NL'!$B$2:$Q$101</definedName>
    <definedName name="_xlnm.Print_Area" localSheetId="4">'Кирпич Terca GER'!$C$3:$N$98</definedName>
    <definedName name="_xlnm.Print_Area" localSheetId="0">'Меню'!$B$2:$M$21</definedName>
    <definedName name="один_злотый">'Кирпич CRH PL'!$M$3</definedName>
    <definedName name="Прайс_150">'[1]Настройки'!$C$27</definedName>
    <definedName name="Прайс_30">'[1]Настройки'!$C$26</definedName>
    <definedName name="Прайс_Д">'[1]Настройки'!$C$30</definedName>
    <definedName name="Прайс_Д1">'[1]Настройки'!$C$31</definedName>
    <definedName name="Прайс_Дилерский">'[1]Настройки'!$C$28</definedName>
    <definedName name="Прайс_Спецпрайс">'[1]Настройки'!$C$29</definedName>
    <definedName name="Прайс150_тип_цен">'[3]Настройки'!$C$27</definedName>
    <definedName name="ПрайсДилер_тип_цен">'[3]Настройки'!$C$28</definedName>
    <definedName name="ПрайсСпец_тип_цен">'[3]Настройки'!$C$29</definedName>
    <definedName name="Путь_сохранения">'[2]Настройки'!$B$295</definedName>
    <definedName name="Путь_сохранения_1">'[1]Настройки'!$B$50</definedName>
    <definedName name="Путь_сохранения_150">'[2]Настройки'!$B$297</definedName>
    <definedName name="Путь_сохранения_150_1">'[1]Настройки'!$B$52</definedName>
    <definedName name="Путь_сохранения_150_2">'[1]Настройки'!$B$58</definedName>
    <definedName name="Путь_сохранения_150_3">'[1]Настройки'!$B$64</definedName>
    <definedName name="Путь_сохранения_150_4">'[1]Настройки'!$B$70</definedName>
    <definedName name="Путь_сохранения_150_5">'[1]Настройки'!$B$76</definedName>
    <definedName name="Путь_сохранения_150_6">'[1]Настройки'!$B$82</definedName>
    <definedName name="Путь_сохранения_2">'[1]Настройки'!$B$56</definedName>
    <definedName name="Путь_сохранения_3">'[1]Настройки'!$B$62</definedName>
    <definedName name="Путь_сохранения_30">'[2]Настройки'!$B$296</definedName>
    <definedName name="Путь_сохранения_30_1">'[1]Настройки'!$B$51</definedName>
    <definedName name="Путь_сохранения_30_2">'[1]Настройки'!$B$57</definedName>
    <definedName name="Путь_сохранения_30_3">'[1]Настройки'!$B$63</definedName>
    <definedName name="Путь_сохранения_30_4">'[1]Настройки'!$B$69</definedName>
    <definedName name="Путь_сохранения_30_5">'[1]Настройки'!$B$75</definedName>
    <definedName name="Путь_сохранения_30_6">'[1]Настройки'!$B$81</definedName>
    <definedName name="Путь_сохранения_4">'[1]Настройки'!$B$68</definedName>
    <definedName name="Путь_сохранения_5">'[1]Настройки'!$B$74</definedName>
    <definedName name="Путь_сохранения_6">'[1]Настройки'!$B$80</definedName>
    <definedName name="Путь_сохранения_Дилерский">'[2]Настройки'!$B$298</definedName>
    <definedName name="Путь_сохранения_Дилерский_1">'[1]Настройки'!$B$53</definedName>
    <definedName name="Путь_сохранения_Дилерский_2">'[1]Настройки'!$B$59</definedName>
    <definedName name="Путь_сохранения_Дилерский_3">'[1]Настройки'!$B$65</definedName>
    <definedName name="Путь_сохранения_Дилерский_4">'[1]Настройки'!$B$71</definedName>
    <definedName name="Путь_сохранения_Дилерский_5">'[1]Настройки'!$B$77</definedName>
    <definedName name="Путь_сохранения_Дилерский_6">'[1]Настройки'!$B$83</definedName>
    <definedName name="Путь_сохранения_Спецпрайс_1">'[1]Настройки'!$B$54</definedName>
    <definedName name="Путь_сохранения_Спецпрайс_2">'[1]Настройки'!$B$60</definedName>
    <definedName name="Путь_сохранения_Спецпрайс_3">'[1]Настройки'!$B$66</definedName>
    <definedName name="Путь_сохранения_Спецпрайс_4">'[1]Настройки'!$B$72</definedName>
    <definedName name="Путь_сохранения_Спецпрайс_5">'[1]Настройки'!$B$78</definedName>
    <definedName name="Путь_сохранения_Спецпрайс_6">'[1]Настройки'!$B$84</definedName>
    <definedName name="Путь_сравнения">'[1]Настройки'!$B$42</definedName>
    <definedName name="Путь_сравнения_150">'[1]Настройки'!$B$44</definedName>
    <definedName name="Путь_сравнения_30">'[1]Настройки'!$B$43</definedName>
    <definedName name="Путь_сравнения_Дилерский">'[1]Настройки'!$B$45</definedName>
    <definedName name="Путь_сравнения_Спецпрайс">'[1]Настройки'!$B$46</definedName>
    <definedName name="Раствор_для_кладки_72102_Quick_Mix_Россия_VK_plus_B_30_кг_светло_бежевый">'[1]Настройки'!$E$992</definedName>
    <definedName name="Раствор_для_кладки_72132_Quick_Mix_Россия_VK_01.B_30_кг_светло_бежевый">'[2]Настройки'!$C$280</definedName>
    <definedName name="Раствор_для_кладки_72202_quick_mix_Россия_VZ_01.B_30_кг_светло_бежевый">'[1]Настройки'!$E$993</definedName>
    <definedName name="Раствор_для_кладки_ОСНОВИТ_БРИКФОРМ_МС_11_25_кг_020_серый">'[3]Настройки'!$C$240</definedName>
    <definedName name="Розница_тип_цен">'[3]Настройки'!$C$25</definedName>
    <definedName name="Розничная">'[1]Настройки'!$C$25</definedName>
    <definedName name="фиксатор">'[3]Настройки'!$C$237</definedName>
  </definedNames>
  <calcPr fullCalcOnLoad="1" refMode="R1C1"/>
</workbook>
</file>

<file path=xl/sharedStrings.xml><?xml version="1.0" encoding="utf-8"?>
<sst xmlns="http://schemas.openxmlformats.org/spreadsheetml/2006/main" count="1908" uniqueCount="617">
  <si>
    <t xml:space="preserve">Облицовочный кирпич Feldhaus Klinker (Германия) </t>
  </si>
  <si>
    <t>Вернуться назад</t>
  </si>
  <si>
    <t>Розничные цены указаны в рублях с учетом НДС.</t>
  </si>
  <si>
    <t>Артикул</t>
  </si>
  <si>
    <t>Название</t>
  </si>
  <si>
    <t>Формат</t>
  </si>
  <si>
    <t>Фактура поверхности</t>
  </si>
  <si>
    <t>Вес, 
кг/шт.</t>
  </si>
  <si>
    <t>Расход, 
шт./кв.м</t>
  </si>
  <si>
    <t>Шт./
поддон</t>
  </si>
  <si>
    <t>Стоимость</t>
  </si>
  <si>
    <t>шт.</t>
  </si>
  <si>
    <t>кв.м</t>
  </si>
  <si>
    <t>СКЛАДСКАЯ ПРОГРАММА</t>
  </si>
  <si>
    <t>K300NF90</t>
  </si>
  <si>
    <t>Lava liso</t>
  </si>
  <si>
    <r>
      <rPr>
        <b/>
        <sz val="10"/>
        <rFont val="Arial"/>
        <family val="2"/>
      </rPr>
      <t>NF90</t>
    </r>
    <r>
      <rPr>
        <sz val="10"/>
        <rFont val="Arial"/>
        <family val="2"/>
      </rPr>
      <t xml:space="preserve"> (240 х 90 х 71)</t>
    </r>
  </si>
  <si>
    <t>гладкий</t>
  </si>
  <si>
    <t>K364NF90</t>
  </si>
  <si>
    <t>Lava azur liso</t>
  </si>
  <si>
    <t>K377NF90</t>
  </si>
  <si>
    <t>Lava maron rustico</t>
  </si>
  <si>
    <t>структурированный</t>
  </si>
  <si>
    <t>K500NF90</t>
  </si>
  <si>
    <t>Geo liso</t>
  </si>
  <si>
    <t>K690WDF</t>
  </si>
  <si>
    <t>Sintra ardor blanca</t>
  </si>
  <si>
    <r>
      <rPr>
        <b/>
        <sz val="10"/>
        <rFont val="Arial"/>
        <family val="2"/>
      </rPr>
      <t>WDF</t>
    </r>
    <r>
      <rPr>
        <sz val="10"/>
        <rFont val="Arial"/>
        <family val="2"/>
      </rPr>
      <t xml:space="preserve"> (215 х 102 х 65)</t>
    </r>
  </si>
  <si>
    <t>ручная формовка</t>
  </si>
  <si>
    <t>K689WDF</t>
  </si>
  <si>
    <t>Sintra ardor</t>
  </si>
  <si>
    <t>K686WDF</t>
  </si>
  <si>
    <t>Sintra ardor calino</t>
  </si>
  <si>
    <t xml:space="preserve">Lava </t>
  </si>
  <si>
    <t>S300DF</t>
  </si>
  <si>
    <r>
      <rPr>
        <b/>
        <sz val="10"/>
        <color indexed="8"/>
        <rFont val="Arial"/>
        <family val="2"/>
      </rPr>
      <t>DF</t>
    </r>
    <r>
      <rPr>
        <sz val="10"/>
        <color indexed="8"/>
        <rFont val="Arial"/>
        <family val="2"/>
      </rPr>
      <t xml:space="preserve"> (240 х 52 х 52) </t>
    </r>
  </si>
  <si>
    <t>K300DF</t>
  </si>
  <si>
    <r>
      <rPr>
        <b/>
        <sz val="10"/>
        <rFont val="Arial"/>
        <family val="2"/>
      </rPr>
      <t>DF</t>
    </r>
    <r>
      <rPr>
        <sz val="10"/>
        <rFont val="Arial"/>
        <family val="2"/>
      </rPr>
      <t xml:space="preserve"> (240 х 115 х 52) </t>
    </r>
  </si>
  <si>
    <t>K300NF</t>
  </si>
  <si>
    <r>
      <rPr>
        <b/>
        <sz val="10"/>
        <rFont val="Arial"/>
        <family val="2"/>
      </rPr>
      <t>NF</t>
    </r>
    <r>
      <rPr>
        <sz val="10"/>
        <rFont val="Arial"/>
        <family val="2"/>
      </rPr>
      <t xml:space="preserve"> (240 х 115 х 71)</t>
    </r>
  </si>
  <si>
    <t>K3002DF</t>
  </si>
  <si>
    <r>
      <rPr>
        <b/>
        <sz val="10"/>
        <rFont val="Arial"/>
        <family val="2"/>
      </rPr>
      <t>2DF</t>
    </r>
    <r>
      <rPr>
        <sz val="10"/>
        <rFont val="Arial"/>
        <family val="2"/>
      </rPr>
      <t xml:space="preserve"> (240 х 115 х 113)</t>
    </r>
  </si>
  <si>
    <t>K301NF</t>
  </si>
  <si>
    <t>Lava rugo</t>
  </si>
  <si>
    <t>K308NF</t>
  </si>
  <si>
    <t>Lava vascu</t>
  </si>
  <si>
    <t>K350NF</t>
  </si>
  <si>
    <t xml:space="preserve"> </t>
  </si>
  <si>
    <t>K3502DF</t>
  </si>
  <si>
    <t>K364NF</t>
  </si>
  <si>
    <t>K366DF</t>
  </si>
  <si>
    <t>Lava ciaro liso</t>
  </si>
  <si>
    <t>K366NF</t>
  </si>
  <si>
    <t>K366NF90</t>
  </si>
  <si>
    <t>K377DF</t>
  </si>
  <si>
    <t>K377NF</t>
  </si>
  <si>
    <t>K396DF</t>
  </si>
  <si>
    <t>Lava maron senso</t>
  </si>
  <si>
    <t>K396NF</t>
  </si>
  <si>
    <t>Carmesi</t>
  </si>
  <si>
    <t>K328NF</t>
  </si>
  <si>
    <t>Carmesi multi vascu</t>
  </si>
  <si>
    <t>S335DF</t>
  </si>
  <si>
    <t>K335DF</t>
  </si>
  <si>
    <t>K328NF90</t>
  </si>
  <si>
    <t>K335NF90</t>
  </si>
  <si>
    <t>Carmesi antic mana</t>
  </si>
  <si>
    <t>K335NF</t>
  </si>
  <si>
    <t>K345NF90</t>
  </si>
  <si>
    <t>Carmesi aczent mana</t>
  </si>
  <si>
    <r>
      <rPr>
        <b/>
        <sz val="10"/>
        <rFont val="Arial"/>
        <family val="2"/>
      </rPr>
      <t>NF</t>
    </r>
    <r>
      <rPr>
        <sz val="10"/>
        <rFont val="Arial"/>
        <family val="2"/>
      </rPr>
      <t xml:space="preserve"> (240 х 90 х 71)</t>
    </r>
  </si>
  <si>
    <t>K345NF</t>
  </si>
  <si>
    <t>K400DF</t>
  </si>
  <si>
    <t>Carmesi liso</t>
  </si>
  <si>
    <t>S400DF</t>
  </si>
  <si>
    <t>K400RF</t>
  </si>
  <si>
    <r>
      <rPr>
        <b/>
        <sz val="10"/>
        <rFont val="Arial"/>
        <family val="2"/>
      </rPr>
      <t>RF</t>
    </r>
    <r>
      <rPr>
        <sz val="10"/>
        <rFont val="Arial"/>
        <family val="2"/>
      </rPr>
      <t xml:space="preserve"> (240 х 115 х 65)</t>
    </r>
  </si>
  <si>
    <t>S400NF</t>
  </si>
  <si>
    <r>
      <rPr>
        <b/>
        <sz val="10"/>
        <rFont val="Arial"/>
        <family val="2"/>
      </rPr>
      <t>NF</t>
    </r>
    <r>
      <rPr>
        <sz val="10"/>
        <rFont val="Arial"/>
        <family val="2"/>
      </rPr>
      <t xml:space="preserve"> (240 х 52 х 71) </t>
    </r>
  </si>
  <si>
    <t>K400NF90</t>
  </si>
  <si>
    <t>K400NF</t>
  </si>
  <si>
    <t>K4002DF</t>
  </si>
  <si>
    <t>K401NF</t>
  </si>
  <si>
    <t>Carmesi rugo</t>
  </si>
  <si>
    <t>K435DF</t>
  </si>
  <si>
    <t>Carmesi mana</t>
  </si>
  <si>
    <t>K435NF90</t>
  </si>
  <si>
    <t>K435NF</t>
  </si>
  <si>
    <t>K440DF</t>
  </si>
  <si>
    <t>Carmesi senso</t>
  </si>
  <si>
    <t>S440DF</t>
  </si>
  <si>
    <t>K440RF</t>
  </si>
  <si>
    <t>K440NF90</t>
  </si>
  <si>
    <t>K440NF</t>
  </si>
  <si>
    <t>Geo</t>
  </si>
  <si>
    <t>K500DF</t>
  </si>
  <si>
    <t>K500NF</t>
  </si>
  <si>
    <t>K508NF</t>
  </si>
  <si>
    <t>Geo ferrum liso</t>
  </si>
  <si>
    <t>K5082DF</t>
  </si>
  <si>
    <t>K520NF90</t>
  </si>
  <si>
    <t>Geo maris liso</t>
  </si>
  <si>
    <r>
      <t>NF</t>
    </r>
    <r>
      <rPr>
        <sz val="10"/>
        <rFont val="Arial"/>
        <family val="2"/>
      </rPr>
      <t xml:space="preserve"> (240 х 90 х 71)</t>
    </r>
  </si>
  <si>
    <t>K520NF</t>
  </si>
  <si>
    <t>K540DF</t>
  </si>
  <si>
    <t>Geo senso</t>
  </si>
  <si>
    <t>K540NF</t>
  </si>
  <si>
    <t>K550NF</t>
  </si>
  <si>
    <t>Geo sabio</t>
  </si>
  <si>
    <t>Nolani</t>
  </si>
  <si>
    <t>K280NF</t>
  </si>
  <si>
    <t>Nolani liso</t>
  </si>
  <si>
    <t>K286NF</t>
  </si>
  <si>
    <t>Nolani viva rustico carbo</t>
  </si>
  <si>
    <t>K286NF90</t>
  </si>
  <si>
    <t>Terra</t>
  </si>
  <si>
    <t>K535NF</t>
  </si>
  <si>
    <t>Terra mana</t>
  </si>
  <si>
    <t>K535NF90</t>
  </si>
  <si>
    <t>K555NF</t>
  </si>
  <si>
    <t>Terra antic mana</t>
  </si>
  <si>
    <t>Cerasi</t>
  </si>
  <si>
    <t>K380NF</t>
  </si>
  <si>
    <t>Cerasi azur liso</t>
  </si>
  <si>
    <t>K3802DF</t>
  </si>
  <si>
    <t>K385NF90</t>
  </si>
  <si>
    <t>Сerasi maritim</t>
  </si>
  <si>
    <t>K388NF</t>
  </si>
  <si>
    <t>Cerasi ferrum liso</t>
  </si>
  <si>
    <t>K3882DF</t>
  </si>
  <si>
    <t>Sintra</t>
  </si>
  <si>
    <t>K661NF</t>
  </si>
  <si>
    <t>Sintra lava maris</t>
  </si>
  <si>
    <t>K662NF</t>
  </si>
  <si>
    <t>Sintra lava azur</t>
  </si>
  <si>
    <t>K663NF</t>
  </si>
  <si>
    <t>Sintra cerasi nelino</t>
  </si>
  <si>
    <t>K684WDF</t>
  </si>
  <si>
    <t>Sintra nolani ocasa</t>
  </si>
  <si>
    <t>K684NF</t>
  </si>
  <si>
    <t>Sintra nolani ocasa (без нагара)</t>
  </si>
  <si>
    <t>K685WDF</t>
  </si>
  <si>
    <t>Sintra ardor nelino</t>
  </si>
  <si>
    <t>K685NF</t>
  </si>
  <si>
    <t>K686NF</t>
  </si>
  <si>
    <t>K689NF</t>
  </si>
  <si>
    <t>K690NF</t>
  </si>
  <si>
    <t>K697WDF</t>
  </si>
  <si>
    <t>Sintra geo</t>
  </si>
  <si>
    <t>K697NF</t>
  </si>
  <si>
    <t>K682WDF</t>
  </si>
  <si>
    <t>Sintra argo blanco</t>
  </si>
  <si>
    <t>K682NF</t>
  </si>
  <si>
    <t>Vascu</t>
  </si>
  <si>
    <t>K734NF</t>
  </si>
  <si>
    <t>Vascu sabioso ocasa</t>
  </si>
  <si>
    <t>K724NF</t>
  </si>
  <si>
    <t>Vascu sabioso bora</t>
  </si>
  <si>
    <t>K723NF</t>
  </si>
  <si>
    <t>Vascu sabioso rotado</t>
  </si>
  <si>
    <t>K745NF</t>
  </si>
  <si>
    <t>Vascu geo venito</t>
  </si>
  <si>
    <t>K746NF</t>
  </si>
  <si>
    <t>Vascu cerasi rotado</t>
  </si>
  <si>
    <t>K747NF</t>
  </si>
  <si>
    <t>Vascu geo legoro</t>
  </si>
  <si>
    <t>K748NF</t>
  </si>
  <si>
    <t>Vascu geo merleso</t>
  </si>
  <si>
    <t>K750NF</t>
  </si>
  <si>
    <t>Vascu ardor rotado</t>
  </si>
  <si>
    <t>K773NF</t>
  </si>
  <si>
    <t>Vascu argo antrablanka</t>
  </si>
  <si>
    <t>K764DF</t>
  </si>
  <si>
    <t>Vascu argo rotado</t>
  </si>
  <si>
    <t>K752NF</t>
  </si>
  <si>
    <t>Vascu ardor carbo</t>
  </si>
  <si>
    <t>Поставка осуществляется только кратно поддонам.</t>
  </si>
  <si>
    <t>¹ Цены действительны до 31.12.2017 г. Дополнительные скидки на данное предложение не действуют.</t>
  </si>
  <si>
    <t>Все материалы поставляются на заказ. Срок поставки продукции оговаривается индивидуально.</t>
  </si>
  <si>
    <t>Материалы для монтажа</t>
  </si>
  <si>
    <t>Наименование</t>
  </si>
  <si>
    <t>Упаковка</t>
  </si>
  <si>
    <t>Цена, руб./шт.</t>
  </si>
  <si>
    <t>Раствор для кладки 72202 quick-mix Россия VZ 01.B 30 кг светло-бежевый</t>
  </si>
  <si>
    <t>30 кг</t>
  </si>
  <si>
    <t xml:space="preserve">Гидроизоляция отсечная DELTA MAUERWERKSSPERRE </t>
  </si>
  <si>
    <t>25 п.м</t>
  </si>
  <si>
    <t>Гибкая связь Well-L 3 x 275</t>
  </si>
  <si>
    <t>250 шт.</t>
  </si>
  <si>
    <t>Вентиляционная коробочка Baut светло-серый</t>
  </si>
  <si>
    <t>150 шт.</t>
  </si>
  <si>
    <t>Арматура оцинкованная Murfor RND/Z-50</t>
  </si>
  <si>
    <t>3 п.м</t>
  </si>
  <si>
    <t>В нашем ассортименте также представлены материалы:</t>
  </si>
  <si>
    <t>металлочерепица; гибкая черепица; керамическая черепица; цементно-песчаная черепица; кровельный сланец; кровельная медь; кровельный алюминий;</t>
  </si>
  <si>
    <t>титан-цинк; сталь для фальцевой кровли; композитная черепица; ондулин; медные, стальные, алюминиевые и пластиковые водостоки;</t>
  </si>
  <si>
    <t>виниловый сайдинг; облицовочный и тротуарный кирпич; облицовочная плитка "под кирпич"; кладочные растворы; штукатурные фасады;</t>
  </si>
  <si>
    <t>дымоходные системы; гидроизоляция; пароизоляция; утеплители; мансардные окна.</t>
  </si>
  <si>
    <t>Подробную информацию о всех материалах можно узнать на сайте www.unikma.ru.</t>
  </si>
  <si>
    <t>В связи с экономической ситуацией и существенным ежедневным изменением курса евро к российскому рублю, настоящий прайс-лист действителен только на дату его формирования, указанную на данном листе. Прайс-лист с датой, выпадающей на субботу действителен до понедельника включительно.</t>
  </si>
  <si>
    <t>Оплата производится в рублях по курсу ЦБ РФ.</t>
  </si>
  <si>
    <t xml:space="preserve">                      Облицовочный кирпич TERCA (Бельгия-Голландия) </t>
  </si>
  <si>
    <t>При оформлении заказа необходимо уточнять нормы загрузки кирпича.</t>
  </si>
  <si>
    <t>Арт.</t>
  </si>
  <si>
    <t>Условное 
обозн.</t>
  </si>
  <si>
    <t>Страна</t>
  </si>
  <si>
    <t>Фактура
 поверхности</t>
  </si>
  <si>
    <t>Шт./ 
а/м</t>
  </si>
  <si>
    <t xml:space="preserve">Стоимость </t>
  </si>
  <si>
    <t>СКЛАДСКОЙ АССОРТИМЕНТ</t>
  </si>
  <si>
    <t>WDF65</t>
  </si>
  <si>
    <t>DORADO ECO</t>
  </si>
  <si>
    <t>BEL</t>
  </si>
  <si>
    <t>215*65*65</t>
  </si>
  <si>
    <t>OLD ROMAN ECO</t>
  </si>
  <si>
    <t>AURORA</t>
  </si>
  <si>
    <t>215*102*65</t>
  </si>
  <si>
    <t>BAROK 83 ECO/PELHAM ANTIQUE</t>
  </si>
  <si>
    <t>KASTANJEBRUIN</t>
  </si>
  <si>
    <t xml:space="preserve">AGAAT                                           </t>
  </si>
  <si>
    <t>MILANO</t>
  </si>
  <si>
    <t>VALERIAAN</t>
  </si>
  <si>
    <t>ЗАВОД BEERSE</t>
  </si>
  <si>
    <t>AGORA WIT IVOOR</t>
  </si>
  <si>
    <t>210*100*65</t>
  </si>
  <si>
    <t>AGORA PAARS</t>
  </si>
  <si>
    <t>AGORA GRAFIETZWART</t>
  </si>
  <si>
    <t>PASTORALE</t>
  </si>
  <si>
    <t>ORCHIDEE ROSE</t>
  </si>
  <si>
    <t>ORCHIDEE</t>
  </si>
  <si>
    <t>SPAANS ROOD</t>
  </si>
  <si>
    <t>215*100*65</t>
  </si>
  <si>
    <t>ATINEA</t>
  </si>
  <si>
    <t>OPUS</t>
  </si>
  <si>
    <t>CASSANI</t>
  </si>
  <si>
    <t>CIENNA</t>
  </si>
  <si>
    <t>ЗАВОД BEERSE FORUM</t>
  </si>
  <si>
    <t>OMBRA</t>
  </si>
  <si>
    <t>ЗАВОД THORN</t>
  </si>
  <si>
    <t xml:space="preserve">BRONS RUSTIEK MARZIALE                </t>
  </si>
  <si>
    <t>NL</t>
  </si>
  <si>
    <t>BLAUW-ROOD GENUANCEERD</t>
  </si>
  <si>
    <t xml:space="preserve">BRONSGROEN                                                  </t>
  </si>
  <si>
    <t>VELDBRONS GESINTERD</t>
  </si>
  <si>
    <t>LICHTBRONS</t>
  </si>
  <si>
    <t>ЗАВОД WARNETON</t>
  </si>
  <si>
    <t>RUSTICA OUD BEAUVOORDE</t>
  </si>
  <si>
    <t>216*101*64</t>
  </si>
  <si>
    <t>RUSTICA OUD DAMME</t>
  </si>
  <si>
    <t>RUSTICA OUD NIEUWPOORT</t>
  </si>
  <si>
    <t>RUSTICA OUD TORHOUT</t>
  </si>
  <si>
    <t>RUSTICA OUDE VELDSTEEN</t>
  </si>
  <si>
    <t>RUSTICA OUD VEURNE</t>
  </si>
  <si>
    <t>ЗАВОД KORTEMARK</t>
  </si>
  <si>
    <t>BRUIN-ZWART</t>
  </si>
  <si>
    <t>STROBLOEM</t>
  </si>
  <si>
    <t xml:space="preserve">KERSEBLOESEM    </t>
  </si>
  <si>
    <t>BIJOU</t>
  </si>
  <si>
    <t>OUD KNOKKE</t>
  </si>
  <si>
    <t>ЗАВОД LANAKEN</t>
  </si>
  <si>
    <t xml:space="preserve">PELHAM ANTIQUE                           </t>
  </si>
  <si>
    <t>214*100*64</t>
  </si>
  <si>
    <t>PORTSMOUTH</t>
  </si>
  <si>
    <t>PAEPSTEEN ECO/HAYWOOD RED</t>
  </si>
  <si>
    <t>KASHTAN ECO</t>
  </si>
  <si>
    <t>PAMPAS ECO</t>
  </si>
  <si>
    <t>VELDBLOEM ECO/OAKINGTON BUFF</t>
  </si>
  <si>
    <t>MORADO ECO</t>
  </si>
  <si>
    <t>BOWLAND ECO/NERO ZWART MANGAAN</t>
  </si>
  <si>
    <t>LANGDALE ECO/PLAZA</t>
  </si>
  <si>
    <t>ЗАВОД PERUWELZ</t>
  </si>
  <si>
    <t xml:space="preserve">APPELBLOESEM                                    </t>
  </si>
  <si>
    <t>TOPAAS</t>
  </si>
  <si>
    <t>Весь товар продается только кратно поддону.</t>
  </si>
  <si>
    <t xml:space="preserve">Цена указана с доставкой до МКАД, с учетом полной загрузки а/м. Доставка от МКАД в сторону области оплачивается дополнительно из расчета 60 руб./км. Поставка кирпича напрямую с завода-изготовителя на объект в количестве, не кратном норме загрузки а/м, осуществляется в объеме не менее 8 поддонов за дополнительную плату в размере – 4800 руб. 
</t>
  </si>
  <si>
    <t xml:space="preserve">* Указана стоимость при доставке кирпича до Москвы в количестве, кратном норме загрузки а/м.
</t>
  </si>
  <si>
    <t>Раствор для кладки Quick-Mix Россия VK plus B светло-бежевый</t>
  </si>
  <si>
    <t>Облицовочный кирпич TERCA (Эстония)</t>
  </si>
  <si>
    <t>Доставка кирпича по МО осуществляется бесплатно.</t>
  </si>
  <si>
    <t>Новый 
артикул</t>
  </si>
  <si>
    <t>Цвет</t>
  </si>
  <si>
    <t>Шт./
авто 
(на склад)</t>
  </si>
  <si>
    <t>Шт./
авто
 (с завода 
на прямо)</t>
  </si>
  <si>
    <t>Стоимость ¹</t>
  </si>
  <si>
    <t>NORDIC KLINKER LINE</t>
  </si>
  <si>
    <t>ФАТ 65-85</t>
  </si>
  <si>
    <t>STOCKHOLM</t>
  </si>
  <si>
    <t>250x85x65</t>
  </si>
  <si>
    <t>Красный</t>
  </si>
  <si>
    <t>TALLIN</t>
  </si>
  <si>
    <t>Бордовый</t>
  </si>
  <si>
    <t>HELSINKI</t>
  </si>
  <si>
    <t>Светло-коричневый</t>
  </si>
  <si>
    <t>BERGEN</t>
  </si>
  <si>
    <t>Коричнево-чёрный</t>
  </si>
  <si>
    <t>OSLO</t>
  </si>
  <si>
    <t>Тёмно-коричневый</t>
  </si>
  <si>
    <t>ФАТ 65-86</t>
  </si>
  <si>
    <t>NARVA</t>
  </si>
  <si>
    <t>Бордово-синий</t>
  </si>
  <si>
    <t>KLINKER BRICK</t>
  </si>
  <si>
    <t xml:space="preserve">RED </t>
  </si>
  <si>
    <t>GRAFIT</t>
  </si>
  <si>
    <t>Чёрный</t>
  </si>
  <si>
    <t>ВАТ 65</t>
  </si>
  <si>
    <t>SAFARI</t>
  </si>
  <si>
    <t>250x120x65</t>
  </si>
  <si>
    <t>RIFF</t>
  </si>
  <si>
    <t xml:space="preserve">При поставке кирпича напрямую с завода-изготовителя на объект доплата за доставку от МКАД в сторону области - 40 руб./км. </t>
  </si>
  <si>
    <t xml:space="preserve">¹ Цена указана с доставкой до МКАД, с учетом полной загрузки а/м. Доставка от МКАД в сторону области оплачивается дополнительно из расчета 60 руб./км. Поставка кирпича напрямую с завода-изготовителя на объект в количестве, не кратном норме загрузки а/м, осуществляется в объеме не менее 8 поддонов за дополнительную плату в размере – 4800 руб. 
</t>
  </si>
  <si>
    <t>Гидроизоляция отсечная DELTA MAUERWERKSSPERRE</t>
  </si>
  <si>
    <t xml:space="preserve">Облицовочный кирпич TERCA (Германия) </t>
  </si>
  <si>
    <t>При покупке на сумму свыше 30 тыс. руб. - действует система скидок.</t>
  </si>
  <si>
    <t>Новый артикул</t>
  </si>
  <si>
    <t>Старый артикул</t>
  </si>
  <si>
    <t>ЗАВОД BAALBERGE</t>
  </si>
  <si>
    <t>-</t>
  </si>
  <si>
    <t>ALT LÜBECK</t>
  </si>
  <si>
    <r>
      <t>NF</t>
    </r>
    <r>
      <rPr>
        <sz val="10"/>
        <rFont val="Arial"/>
        <family val="2"/>
      </rPr>
      <t xml:space="preserve"> (240*115*71)</t>
    </r>
  </si>
  <si>
    <t>glatt</t>
  </si>
  <si>
    <t>fussrauh</t>
  </si>
  <si>
    <t>ALT SCHWERIN</t>
  </si>
  <si>
    <t>antik</t>
  </si>
  <si>
    <t>ALTMARK</t>
  </si>
  <si>
    <t>COTTAGE</t>
  </si>
  <si>
    <t>BAALBERGE</t>
  </si>
  <si>
    <r>
      <t>NF</t>
    </r>
    <r>
      <rPr>
        <sz val="10"/>
        <rFont val="Arial"/>
        <family val="2"/>
      </rPr>
      <t xml:space="preserve"> (250*120*65)</t>
    </r>
  </si>
  <si>
    <t>glatt 7-Schlitz</t>
  </si>
  <si>
    <t>rustik</t>
  </si>
  <si>
    <t>NEVADA</t>
  </si>
  <si>
    <t>PLAUER</t>
  </si>
  <si>
    <t>SCHLESWIG</t>
  </si>
  <si>
    <t>ЗАВОД BUCHWÄLDCHEN</t>
  </si>
  <si>
    <t>DESSAU</t>
  </si>
  <si>
    <t>34382100</t>
  </si>
  <si>
    <t>BWK 140/5</t>
  </si>
  <si>
    <t>DRESDEN</t>
  </si>
  <si>
    <t>34389140</t>
  </si>
  <si>
    <r>
      <t>RF</t>
    </r>
    <r>
      <rPr>
        <sz val="10"/>
        <rFont val="Arial"/>
        <family val="2"/>
      </rPr>
      <t xml:space="preserve"> (250*120*65)</t>
    </r>
  </si>
  <si>
    <t>34386100</t>
  </si>
  <si>
    <t>FRANKFURT</t>
  </si>
  <si>
    <t>34388150</t>
  </si>
  <si>
    <t>POTSDAM</t>
  </si>
  <si>
    <t>BWK 141/5</t>
  </si>
  <si>
    <t>SPREEWALD</t>
  </si>
  <si>
    <t>34384100</t>
  </si>
  <si>
    <t>BWK 150/5</t>
  </si>
  <si>
    <t>HAVELLAND</t>
  </si>
  <si>
    <t>BWK 144/5</t>
  </si>
  <si>
    <t>CALAU</t>
  </si>
  <si>
    <t>34373400</t>
  </si>
  <si>
    <t>LEIPZIG</t>
  </si>
  <si>
    <t>BWK 151/4</t>
  </si>
  <si>
    <t>MÄRKISCH</t>
  </si>
  <si>
    <t>34370100</t>
  </si>
  <si>
    <t>BWK 151/5</t>
  </si>
  <si>
    <t>34372000</t>
  </si>
  <si>
    <t>BWK 130/4</t>
  </si>
  <si>
    <t>HEIDE</t>
  </si>
  <si>
    <t>34372110</t>
  </si>
  <si>
    <t>BWK 130/11</t>
  </si>
  <si>
    <t>ЗАВОД KIRCHKIMMEN</t>
  </si>
  <si>
    <t>34487020</t>
  </si>
  <si>
    <t>F4-NF</t>
  </si>
  <si>
    <t>F4 weiss</t>
  </si>
  <si>
    <t>genarbt</t>
  </si>
  <si>
    <r>
      <t>NF</t>
    </r>
    <r>
      <rPr>
        <sz val="10"/>
        <rFont val="Arial"/>
        <family val="2"/>
      </rPr>
      <t xml:space="preserve"> (240*85*71)</t>
    </r>
  </si>
  <si>
    <t>34485040</t>
  </si>
  <si>
    <t>F8-NF</t>
  </si>
  <si>
    <t>F8 weiss</t>
  </si>
  <si>
    <t>flach genarbt</t>
  </si>
  <si>
    <t>34485520</t>
  </si>
  <si>
    <t>F12-NF</t>
  </si>
  <si>
    <t>F12</t>
  </si>
  <si>
    <t>strukturiert</t>
  </si>
  <si>
    <t>34475210</t>
  </si>
  <si>
    <t>HKS Rot-NF</t>
  </si>
  <si>
    <t>HKS Rot</t>
  </si>
  <si>
    <t>wasserstrich Vollklinker</t>
  </si>
  <si>
    <t>34473010</t>
  </si>
  <si>
    <t>Aa-NF</t>
  </si>
  <si>
    <t>Aa rot nuanciert</t>
  </si>
  <si>
    <t>34470025</t>
  </si>
  <si>
    <t>B1-NF</t>
  </si>
  <si>
    <t>B1</t>
  </si>
  <si>
    <t>B1-DF</t>
  </si>
  <si>
    <r>
      <rPr>
        <b/>
        <sz val="10"/>
        <rFont val="Arial"/>
        <family val="2"/>
      </rPr>
      <t>DF</t>
    </r>
    <r>
      <rPr>
        <sz val="10"/>
        <rFont val="Arial"/>
        <family val="2"/>
      </rPr>
      <t xml:space="preserve"> (240*115*52)</t>
    </r>
  </si>
  <si>
    <r>
      <t>RF</t>
    </r>
    <r>
      <rPr>
        <sz val="10"/>
        <rFont val="Arial"/>
        <family val="2"/>
      </rPr>
      <t xml:space="preserve"> (240*115*65)</t>
    </r>
  </si>
  <si>
    <t>34473030</t>
  </si>
  <si>
    <t>B5-NF</t>
  </si>
  <si>
    <t>B5 rotbraun bunt</t>
  </si>
  <si>
    <t>besandet</t>
  </si>
  <si>
    <t>34473020</t>
  </si>
  <si>
    <t>B5-DF</t>
  </si>
  <si>
    <t>34474025</t>
  </si>
  <si>
    <t>B6-NF</t>
  </si>
  <si>
    <t>B6</t>
  </si>
  <si>
    <t>34474040</t>
  </si>
  <si>
    <t>B16-NF</t>
  </si>
  <si>
    <t>B16</t>
  </si>
  <si>
    <t>34480095</t>
  </si>
  <si>
    <t>BK1-NF</t>
  </si>
  <si>
    <t>BK1</t>
  </si>
  <si>
    <t>34472015</t>
  </si>
  <si>
    <t>KK1-NF</t>
  </si>
  <si>
    <t>KK1</t>
  </si>
  <si>
    <t>34481045</t>
  </si>
  <si>
    <t>KKB-f-NF</t>
  </si>
  <si>
    <t>KKB-f</t>
  </si>
  <si>
    <t>34480000</t>
  </si>
  <si>
    <t>KKB-NF</t>
  </si>
  <si>
    <t>KKB rotbraun bunt Kohlebrand</t>
  </si>
  <si>
    <t>34476220</t>
  </si>
  <si>
    <t>HKS Bunt-NF</t>
  </si>
  <si>
    <t>HKS Bunt</t>
  </si>
  <si>
    <t>KBB-NF</t>
  </si>
  <si>
    <t>KBB blaubunt</t>
  </si>
  <si>
    <t>KBB6-NF</t>
  </si>
  <si>
    <t>KBB6 blaubunt</t>
  </si>
  <si>
    <t>RBB-NF</t>
  </si>
  <si>
    <t>RBB blaubunt</t>
  </si>
  <si>
    <t>wasserstrich rustikal Vollklinker</t>
  </si>
  <si>
    <t>34475250</t>
  </si>
  <si>
    <t>HKS Kohle-NF</t>
  </si>
  <si>
    <t>HKS Kohle</t>
  </si>
  <si>
    <t>34478105</t>
  </si>
  <si>
    <t>S1 7S-NF</t>
  </si>
  <si>
    <t>S1 schwarzbraun</t>
  </si>
  <si>
    <t>34480280</t>
  </si>
  <si>
    <t>Oranje Spezial</t>
  </si>
  <si>
    <t>34481705</t>
  </si>
  <si>
    <t>WESTMINSTER</t>
  </si>
  <si>
    <r>
      <t>2DF</t>
    </r>
    <r>
      <rPr>
        <sz val="10"/>
        <rFont val="Arial"/>
        <family val="2"/>
      </rPr>
      <t xml:space="preserve"> (240*115*113)</t>
    </r>
  </si>
  <si>
    <t>Alt-Bockhorn Spezial Wechselsortierung</t>
  </si>
  <si>
    <t>34481730</t>
  </si>
  <si>
    <t>Alt-Ditzum Wechselsortierung</t>
  </si>
  <si>
    <t>34483080</t>
  </si>
  <si>
    <t>Cuxhaven Wechselsortierung</t>
  </si>
  <si>
    <t>Указана стоимость при доставке кирпича до Москвы в количестве, кратном норме загрузки а/м.</t>
  </si>
  <si>
    <t>** Специальные цены действуют до 31.12.2014. Дополнительные скидки на данное предложение не распространяются.</t>
  </si>
  <si>
    <t xml:space="preserve">Облицовочный кирпич CRH (Польша) </t>
  </si>
  <si>
    <t>Желтый кирпич</t>
  </si>
  <si>
    <t>ARIZONA</t>
  </si>
  <si>
    <r>
      <t xml:space="preserve">RF </t>
    </r>
    <r>
      <rPr>
        <sz val="10"/>
        <rFont val="Arial"/>
        <family val="2"/>
      </rPr>
      <t>(250*120*65)</t>
    </r>
  </si>
  <si>
    <t>структурированный полнотелый</t>
  </si>
  <si>
    <t>SAHARA</t>
  </si>
  <si>
    <t>гладкий пятищелевой</t>
  </si>
  <si>
    <t>гладкий полнотелый</t>
  </si>
  <si>
    <r>
      <t xml:space="preserve">Half </t>
    </r>
    <r>
      <rPr>
        <sz val="10"/>
        <rFont val="Arial"/>
        <family val="2"/>
      </rPr>
      <t>(250*55*65)</t>
    </r>
  </si>
  <si>
    <t>SAHARA TON</t>
  </si>
  <si>
    <t>SAHARA CIENIOWANA</t>
  </si>
  <si>
    <t>SAHARA MIODOWA</t>
  </si>
  <si>
    <t>SAHARA PIASKOWA</t>
  </si>
  <si>
    <t>SOLAR</t>
  </si>
  <si>
    <t>OCHRA</t>
  </si>
  <si>
    <t>OCHRA TON</t>
  </si>
  <si>
    <t>Красный кирпич</t>
  </si>
  <si>
    <t>KALAHARI</t>
  </si>
  <si>
    <t>KALAHARI TON</t>
  </si>
  <si>
    <t>ALFA</t>
  </si>
  <si>
    <t>CHERRY</t>
  </si>
  <si>
    <t>RUBIN CIENIOWANY</t>
  </si>
  <si>
    <t>STAROBROWARNA</t>
  </si>
  <si>
    <t>GOTIKA</t>
  </si>
  <si>
    <t>Пестрый кирпич</t>
  </si>
  <si>
    <t>SUPER</t>
  </si>
  <si>
    <t>PEGAZ N</t>
  </si>
  <si>
    <t>RUSTICA</t>
  </si>
  <si>
    <t>структурированный пятищелевой</t>
  </si>
  <si>
    <t>ANTICA</t>
  </si>
  <si>
    <t>COLORADO</t>
  </si>
  <si>
    <t>ETNA</t>
  </si>
  <si>
    <t>424/420</t>
  </si>
  <si>
    <t>CLASSIC</t>
  </si>
  <si>
    <t>LUNA</t>
  </si>
  <si>
    <t>795/600</t>
  </si>
  <si>
    <t>SUPERNOVA</t>
  </si>
  <si>
    <t>Серый кирпич</t>
  </si>
  <si>
    <t>SYRIUSZ CIENIOWANY</t>
  </si>
  <si>
    <t>TYBET CIENIOWANY</t>
  </si>
  <si>
    <t>GOBI N</t>
  </si>
  <si>
    <r>
      <t xml:space="preserve">Half </t>
    </r>
    <r>
      <rPr>
        <sz val="10"/>
        <rFont val="Arial"/>
        <family val="2"/>
      </rPr>
      <t>(250*70*65)</t>
    </r>
  </si>
  <si>
    <t>ORION N</t>
  </si>
  <si>
    <t>WEGA</t>
  </si>
  <si>
    <t>Черный кирпич</t>
  </si>
  <si>
    <t>GALAXY</t>
  </si>
  <si>
    <t>GALAXY SILVER</t>
  </si>
  <si>
    <t>CARBON</t>
  </si>
  <si>
    <t xml:space="preserve">Облицовочный кирпич CRH (Германия) </t>
  </si>
  <si>
    <t>MAXIMUS</t>
  </si>
  <si>
    <t>TYTAN N</t>
  </si>
  <si>
    <t>WEGA N</t>
  </si>
  <si>
    <t xml:space="preserve">Облицовочный кирпич CRH (Голландия, Польша) </t>
  </si>
  <si>
    <t xml:space="preserve">      СКЛАДСКОЙ АССОРТИМЕНТ</t>
  </si>
  <si>
    <t xml:space="preserve">   FB KASTEEL</t>
  </si>
  <si>
    <r>
      <rPr>
        <b/>
        <sz val="10"/>
        <rFont val="Arial"/>
        <family val="2"/>
      </rPr>
      <t>WDF</t>
    </r>
    <r>
      <rPr>
        <sz val="10"/>
        <rFont val="Arial"/>
        <family val="2"/>
      </rPr>
      <t xml:space="preserve"> (214*98*66)</t>
    </r>
  </si>
  <si>
    <t xml:space="preserve">   FB SEPIA GS</t>
  </si>
  <si>
    <t xml:space="preserve">   FB OUD MAAS</t>
  </si>
  <si>
    <t xml:space="preserve">   FB TERRA COTTA</t>
  </si>
  <si>
    <t xml:space="preserve">      ЗАКАЗНОЙ АССОРТИМЕНТ</t>
  </si>
  <si>
    <t>FB RAINBOW GREYDUST</t>
  </si>
  <si>
    <r>
      <rPr>
        <b/>
        <sz val="10"/>
        <rFont val="Arial"/>
        <family val="2"/>
      </rPr>
      <t xml:space="preserve">WF </t>
    </r>
    <r>
      <rPr>
        <sz val="10"/>
        <rFont val="Arial"/>
        <family val="2"/>
      </rPr>
      <t>(207*97*49)</t>
    </r>
  </si>
  <si>
    <t>FB RAINBOW SNOWDUST</t>
  </si>
  <si>
    <t>FB RAINBOW WIT</t>
  </si>
  <si>
    <t>FB SEPIA SNOWDUST</t>
  </si>
  <si>
    <t>(250*120*65)</t>
  </si>
  <si>
    <t>SYRIUSZ</t>
  </si>
  <si>
    <t>TYBET</t>
  </si>
  <si>
    <t>RUSTIKA</t>
  </si>
  <si>
    <t>ANTIKA</t>
  </si>
  <si>
    <t>TOBA</t>
  </si>
  <si>
    <t>FB OUD HOLLANDS WIT</t>
  </si>
  <si>
    <t>FB BEIGE</t>
  </si>
  <si>
    <t>FB CASTELLO GEEL</t>
  </si>
  <si>
    <t>FB CLASSIC FBL</t>
  </si>
  <si>
    <t>FB CRÈME WIT</t>
  </si>
  <si>
    <t>FB GD</t>
  </si>
  <si>
    <t>FB L</t>
  </si>
  <si>
    <t>FB L GS</t>
  </si>
  <si>
    <t>FB RETRO</t>
  </si>
  <si>
    <t>FB ROSE WIT</t>
  </si>
  <si>
    <t>FB RUSTIEK</t>
  </si>
  <si>
    <t>FB RUSTIEK GS</t>
  </si>
  <si>
    <t>FB RUVIO</t>
  </si>
  <si>
    <t>FB WIT</t>
  </si>
  <si>
    <t>FB WS GARDA</t>
  </si>
  <si>
    <t>FB WS GEEL</t>
  </si>
  <si>
    <t>FB WS LADOGA</t>
  </si>
  <si>
    <t>FB WS SEVAN</t>
  </si>
  <si>
    <t>FB WS WIT</t>
  </si>
  <si>
    <t>FB WS WIT GS</t>
  </si>
  <si>
    <t>FB ZILVERWIT</t>
  </si>
  <si>
    <t>Коричневый кирпич</t>
  </si>
  <si>
    <t>FB AUTUMN</t>
  </si>
  <si>
    <t>FB CLASSIC SEPIA</t>
  </si>
  <si>
    <t>FB OUD EIK</t>
  </si>
  <si>
    <t>FB SEPIA ONGESINTELD</t>
  </si>
  <si>
    <t>FB WS BRUIN</t>
  </si>
  <si>
    <t>FB WS BRUIN ROOD BAUDELOO</t>
  </si>
  <si>
    <t>FB WS LUGANO</t>
  </si>
  <si>
    <t>FB WS SEPIA</t>
  </si>
  <si>
    <t>FB CARMINE</t>
  </si>
  <si>
    <t>FB CARMINE GENUANCEERD</t>
  </si>
  <si>
    <t>FB CARMINE GS</t>
  </si>
  <si>
    <t>FB CASTELLO ROOD</t>
  </si>
  <si>
    <t>FB CLASSIC CARMINE</t>
  </si>
  <si>
    <t>FB CLASSIC ROOD</t>
  </si>
  <si>
    <t>FB KARDINAAL ROOD</t>
  </si>
  <si>
    <t>FB KARDINAAL ROOD GS</t>
  </si>
  <si>
    <t>FB KARDINAAL ROOD METALLIC</t>
  </si>
  <si>
    <t>FB KASTEEL</t>
  </si>
  <si>
    <t>FB LUCCA</t>
  </si>
  <si>
    <t>FB OUD MAAS</t>
  </si>
  <si>
    <t>FB PURPLE</t>
  </si>
  <si>
    <t>FB PURPLE GS</t>
  </si>
  <si>
    <t>FB ROOD GS</t>
  </si>
  <si>
    <t>FB VIOLET</t>
  </si>
  <si>
    <t>FB WS BRUIN ROOD</t>
  </si>
  <si>
    <t>FB WS ROOD</t>
  </si>
  <si>
    <t>FB WS ROOD GENUANCEERD</t>
  </si>
  <si>
    <t>FB ZONNEGLOED</t>
  </si>
  <si>
    <t>Оранжевый кирпич</t>
  </si>
  <si>
    <t>FB CASTELLO ORANGE</t>
  </si>
  <si>
    <t>FB CLASSIC TERRA COTTA</t>
  </si>
  <si>
    <t>FB HAVANNA</t>
  </si>
  <si>
    <t>FB HAVANNA GS</t>
  </si>
  <si>
    <t>FB ORANJE</t>
  </si>
  <si>
    <t>FB ORANJE BLAUW ZAND</t>
  </si>
  <si>
    <t>FB TERRA COTTA</t>
  </si>
  <si>
    <t>FB TERRA COTTA GS</t>
  </si>
  <si>
    <t>FB WS ORANGE</t>
  </si>
  <si>
    <t>FB AGAATGRIJS</t>
  </si>
  <si>
    <t>FB AKITA</t>
  </si>
  <si>
    <t>FB ALU</t>
  </si>
  <si>
    <t>FB ALU SPECIAAL</t>
  </si>
  <si>
    <t>FB ETNA</t>
  </si>
  <si>
    <r>
      <t>WDF</t>
    </r>
    <r>
      <rPr>
        <sz val="10"/>
        <rFont val="Arial"/>
        <family val="2"/>
      </rPr>
      <t xml:space="preserve"> (214*98*66)</t>
    </r>
  </si>
  <si>
    <t>FB KIEZELGRIJS</t>
  </si>
  <si>
    <t>FB NEVADO GEEL GESMOORD</t>
  </si>
  <si>
    <t>FB NEVADO ORANJE GESMOORD</t>
  </si>
  <si>
    <t>FB NEVADO ROOD GESMOORD</t>
  </si>
  <si>
    <t>FB PINTA</t>
  </si>
  <si>
    <t>FB RAINBOW ZILVER</t>
  </si>
  <si>
    <t>FB VULCANO</t>
  </si>
  <si>
    <t>FB WS GEEL GESMOORD</t>
  </si>
  <si>
    <t>FB WS ROOD GENUANCEERD GESMOORD</t>
  </si>
  <si>
    <t>FB WS ROOD GESMOORD</t>
  </si>
  <si>
    <t>FB WS SEPIA GESMOORD</t>
  </si>
  <si>
    <t>FB WS WIT GESMOORD</t>
  </si>
  <si>
    <t>FB WS WIT GS GESMOORD</t>
  </si>
  <si>
    <t>FB PICO</t>
  </si>
  <si>
    <t>FB UMBER</t>
  </si>
  <si>
    <t>FB WS BRUIN ROOD GESMOORD</t>
  </si>
  <si>
    <t>FB ZWART MANGAAN</t>
  </si>
  <si>
    <t>Кирпич CRH WDF 214x98x66 мм ручной формовки FB AUTUMN</t>
  </si>
  <si>
    <t>Кирпич CRH WDF 214x98x66 мм ручной формовки FB CLASSIC SEPIA</t>
  </si>
  <si>
    <t>Кирпич CRH WDF 214x98x66 мм ручной формовки FB OUD EIK</t>
  </si>
  <si>
    <t>Кирпич CRH WDF 214x98x66 мм ручной формовки FB SEPIA GS (заказ)</t>
  </si>
  <si>
    <t>Кирпич CRH WDF 214x98x66 мм ручной формовки FB SEPIA GS (склад)</t>
  </si>
  <si>
    <t>Кирпич CRH WDF 214x98x66 мм ручной формовки FB SEPIA ONGESINTELD</t>
  </si>
  <si>
    <t>Кирпич CRH WDF 214x98x66 мм ручной формовки FB WS BRUIN</t>
  </si>
  <si>
    <t>Кирпич CRH WDF 214x98x66 мм ручной формовки FB WS BRUIN ROOD BAUDELOO</t>
  </si>
  <si>
    <t>Кирпич CRH WDF 214x98x66 мм ручной формовки FB WS LUGANO</t>
  </si>
  <si>
    <t>Кирпич CRH WDF 214x98x66 мм ручной формовки FB WS SEPIA</t>
  </si>
  <si>
    <t>Кирпич CRH WF 207x97x49 мм ручной формовки FB AUTUMN</t>
  </si>
  <si>
    <t>Кирпич CRH WF 207x97x49 мм ручной формовки FB CLASSIC SEPIA</t>
  </si>
  <si>
    <t>Кирпич CRH WF 207x97x49 мм ручной формовки FB OUD EIK</t>
  </si>
  <si>
    <t>Кирпич CRH WF 207x97x49 мм ручной формовки FB SEPIA GS</t>
  </si>
  <si>
    <t>Кирпич CRH WF 207x97x49 мм ручной формовки FB SEPIA ONGESINTELD</t>
  </si>
  <si>
    <t>Кирпич CRH WF 207x97x49 мм ручной формовки FB WS BRUIN ROOD BAUDELOO</t>
  </si>
  <si>
    <t>Кирпич CRH WF 207x97x49 мм ручной формовки FB WS SEPIA</t>
  </si>
  <si>
    <t>Кирпич ручной формовки</t>
  </si>
  <si>
    <t>Кирпич Terca Бельгия - Голландия</t>
  </si>
  <si>
    <t>Кирпич CRH Голландия</t>
  </si>
  <si>
    <t>Кирпич Terca Германия</t>
  </si>
  <si>
    <t>Кирпич Terca Эстония</t>
  </si>
  <si>
    <t>Кирпич Feldhaus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</si>
</sst>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&quot; евро/шт. ¹&quot;"/>
    <numFmt numFmtId="173" formatCode="0.00&quot; евро/шт. **&quot;"/>
    <numFmt numFmtId="174" formatCode="0.00&quot; евро/шт.&quot;"/>
    <numFmt numFmtId="175" formatCode="0.0"/>
    <numFmt numFmtId="176" formatCode="0.00&quot; ¹&quot;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23"/>
      <name val="Arial"/>
      <family val="2"/>
    </font>
    <font>
      <sz val="11"/>
      <name val="Arial Narrow"/>
      <family val="2"/>
    </font>
    <font>
      <b/>
      <sz val="1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 Cyr"/>
      <family val="0"/>
    </font>
    <font>
      <b/>
      <sz val="12"/>
      <color indexed="62"/>
      <name val="Arial"/>
      <family val="2"/>
    </font>
    <font>
      <b/>
      <sz val="9"/>
      <name val="Arial"/>
      <family val="2"/>
    </font>
    <font>
      <b/>
      <i/>
      <sz val="10"/>
      <color indexed="23"/>
      <name val="Arial"/>
      <family val="2"/>
    </font>
    <font>
      <sz val="8"/>
      <color indexed="23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sz val="20"/>
      <color indexed="23"/>
      <name val="Arial"/>
      <family val="2"/>
    </font>
    <font>
      <sz val="20"/>
      <name val="Arial"/>
      <family val="2"/>
    </font>
    <font>
      <b/>
      <sz val="8.5"/>
      <color indexed="8"/>
      <name val="Arial Cyr"/>
      <family val="0"/>
    </font>
    <font>
      <sz val="8.5"/>
      <color indexed="8"/>
      <name val="Arial Cyr"/>
      <family val="0"/>
    </font>
    <font>
      <b/>
      <sz val="8"/>
      <color indexed="8"/>
      <name val="Arial Cyr"/>
      <family val="2"/>
    </font>
    <font>
      <b/>
      <sz val="8"/>
      <name val="Arial Cyr"/>
      <family val="0"/>
    </font>
    <font>
      <b/>
      <sz val="8"/>
      <name val="Arial"/>
      <family val="2"/>
    </font>
    <font>
      <b/>
      <sz val="12"/>
      <name val="Arial"/>
      <family val="2"/>
    </font>
    <font>
      <sz val="12"/>
      <color indexed="62"/>
      <name val="Arial"/>
      <family val="2"/>
    </font>
    <font>
      <b/>
      <sz val="11"/>
      <name val="Arial"/>
      <family val="2"/>
    </font>
    <font>
      <b/>
      <sz val="9"/>
      <color indexed="8"/>
      <name val="Arial Cyr"/>
      <family val="0"/>
    </font>
    <font>
      <sz val="9"/>
      <color indexed="8"/>
      <name val="Arial Cyr"/>
      <family val="0"/>
    </font>
    <font>
      <b/>
      <sz val="9"/>
      <name val="Arial Cyr"/>
      <family val="0"/>
    </font>
    <font>
      <sz val="8.5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"/>
      <family val="2"/>
    </font>
    <font>
      <b/>
      <sz val="10"/>
      <color indexed="62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8"/>
      <color indexed="8"/>
      <name val="Arial Cyr"/>
      <family val="0"/>
    </font>
    <font>
      <b/>
      <u val="single"/>
      <sz val="10"/>
      <color indexed="12"/>
      <name val="Arial Cyr"/>
      <family val="0"/>
    </font>
    <font>
      <sz val="11"/>
      <color indexed="23"/>
      <name val="Arial"/>
      <family val="2"/>
    </font>
    <font>
      <sz val="11"/>
      <name val="Arial"/>
      <family val="2"/>
    </font>
    <font>
      <b/>
      <sz val="11"/>
      <color indexed="62"/>
      <name val="Arial"/>
      <family val="2"/>
    </font>
    <font>
      <sz val="9"/>
      <color indexed="23"/>
      <name val="Arial"/>
      <family val="2"/>
    </font>
    <font>
      <b/>
      <sz val="20"/>
      <name val="Arial"/>
      <family val="2"/>
    </font>
    <font>
      <b/>
      <i/>
      <sz val="11"/>
      <color indexed="23"/>
      <name val="Arial"/>
      <family val="2"/>
    </font>
    <font>
      <b/>
      <i/>
      <sz val="11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0"/>
    </font>
    <font>
      <sz val="11"/>
      <color indexed="62"/>
      <name val="Arial"/>
      <family val="2"/>
    </font>
    <font>
      <sz val="8"/>
      <color indexed="8"/>
      <name val="Arial"/>
      <family val="2"/>
    </font>
    <font>
      <b/>
      <sz val="18"/>
      <name val="Arial Cyr"/>
      <family val="2"/>
    </font>
    <font>
      <b/>
      <sz val="1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30"/>
      <name val="Arial Cyr"/>
      <family val="0"/>
    </font>
    <font>
      <b/>
      <sz val="12"/>
      <color indexed="49"/>
      <name val="Arial"/>
      <family val="2"/>
    </font>
    <font>
      <b/>
      <sz val="13"/>
      <color indexed="49"/>
      <name val="Arial"/>
      <family val="2"/>
    </font>
    <font>
      <b/>
      <sz val="11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theme="10"/>
      <name val="Arial Cyr"/>
      <family val="0"/>
    </font>
    <font>
      <b/>
      <sz val="12"/>
      <color theme="4" tint="-0.24997000396251678"/>
      <name val="Arial"/>
      <family val="2"/>
    </font>
    <font>
      <b/>
      <sz val="13"/>
      <color theme="4" tint="-0.24997000396251678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</font>
    <font>
      <b/>
      <sz val="11"/>
      <color rgb="FF333399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0" fontId="8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810">
    <xf numFmtId="0" fontId="0" fillId="0" borderId="0" xfId="0" applyFont="1" applyAlignment="1">
      <alignment/>
    </xf>
    <xf numFmtId="0" fontId="3" fillId="33" borderId="0" xfId="67" applyFont="1" applyFill="1">
      <alignment/>
      <protection/>
    </xf>
    <xf numFmtId="0" fontId="2" fillId="33" borderId="0" xfId="67" applyFill="1">
      <alignment/>
      <protection/>
    </xf>
    <xf numFmtId="0" fontId="2" fillId="33" borderId="0" xfId="67" applyFill="1" applyAlignment="1">
      <alignment horizontal="left"/>
      <protection/>
    </xf>
    <xf numFmtId="0" fontId="2" fillId="0" borderId="0" xfId="67" applyFill="1">
      <alignment/>
      <protection/>
    </xf>
    <xf numFmtId="0" fontId="2" fillId="0" borderId="0" xfId="67" applyFont="1" applyFill="1" applyAlignment="1">
      <alignment horizontal="left" vertical="center" indent="1"/>
      <protection/>
    </xf>
    <xf numFmtId="0" fontId="4" fillId="0" borderId="0" xfId="67" applyFont="1" applyFill="1">
      <alignment/>
      <protection/>
    </xf>
    <xf numFmtId="0" fontId="2" fillId="0" borderId="0" xfId="67" applyFont="1" applyFill="1" applyAlignment="1">
      <alignment horizontal="center"/>
      <protection/>
    </xf>
    <xf numFmtId="0" fontId="2" fillId="0" borderId="0" xfId="67" applyFill="1" applyAlignment="1">
      <alignment horizontal="left"/>
      <protection/>
    </xf>
    <xf numFmtId="0" fontId="2" fillId="0" borderId="0" xfId="67">
      <alignment/>
      <protection/>
    </xf>
    <xf numFmtId="0" fontId="2" fillId="0" borderId="0" xfId="67" applyAlignment="1">
      <alignment horizontal="left"/>
      <protection/>
    </xf>
    <xf numFmtId="0" fontId="2" fillId="34" borderId="0" xfId="67" applyFill="1">
      <alignment/>
      <protection/>
    </xf>
    <xf numFmtId="0" fontId="5" fillId="0" borderId="0" xfId="67" applyFont="1" applyAlignment="1">
      <alignment horizontal="center" vertical="center"/>
      <protection/>
    </xf>
    <xf numFmtId="0" fontId="6" fillId="0" borderId="0" xfId="67" applyFont="1" applyAlignment="1">
      <alignment horizontal="center" vertical="center"/>
      <protection/>
    </xf>
    <xf numFmtId="0" fontId="94" fillId="0" borderId="0" xfId="42" applyFont="1" applyAlignment="1" applyProtection="1">
      <alignment horizontal="left" vertical="center"/>
      <protection/>
    </xf>
    <xf numFmtId="14" fontId="6" fillId="0" borderId="10" xfId="67" applyNumberFormat="1" applyFont="1" applyFill="1" applyBorder="1" applyAlignment="1">
      <alignment/>
      <protection/>
    </xf>
    <xf numFmtId="14" fontId="6" fillId="0" borderId="10" xfId="67" applyNumberFormat="1" applyFont="1" applyFill="1" applyBorder="1" applyAlignment="1">
      <alignment horizontal="left"/>
      <protection/>
    </xf>
    <xf numFmtId="0" fontId="2" fillId="0" borderId="10" xfId="67" applyFont="1" applyFill="1" applyBorder="1" applyAlignment="1">
      <alignment/>
      <protection/>
    </xf>
    <xf numFmtId="0" fontId="6" fillId="0" borderId="10" xfId="67" applyFont="1" applyBorder="1" applyAlignment="1">
      <alignment horizontal="right"/>
      <protection/>
    </xf>
    <xf numFmtId="0" fontId="2" fillId="0" borderId="11" xfId="67" applyBorder="1">
      <alignment/>
      <protection/>
    </xf>
    <xf numFmtId="0" fontId="2" fillId="0" borderId="12" xfId="67" applyFont="1" applyFill="1" applyBorder="1" applyAlignment="1">
      <alignment horizontal="left" vertical="center" indent="1"/>
      <protection/>
    </xf>
    <xf numFmtId="0" fontId="4" fillId="0" borderId="12" xfId="67" applyFont="1" applyFill="1" applyBorder="1">
      <alignment/>
      <protection/>
    </xf>
    <xf numFmtId="0" fontId="2" fillId="0" borderId="12" xfId="67" applyFont="1" applyFill="1" applyBorder="1" applyAlignment="1">
      <alignment horizontal="center"/>
      <protection/>
    </xf>
    <xf numFmtId="0" fontId="2" fillId="0" borderId="12" xfId="67" applyBorder="1" applyAlignment="1">
      <alignment horizontal="left"/>
      <protection/>
    </xf>
    <xf numFmtId="172" fontId="2" fillId="0" borderId="12" xfId="67" applyNumberFormat="1" applyBorder="1" applyAlignment="1">
      <alignment horizontal="left"/>
      <protection/>
    </xf>
    <xf numFmtId="172" fontId="2" fillId="0" borderId="12" xfId="67" applyNumberFormat="1" applyBorder="1">
      <alignment/>
      <protection/>
    </xf>
    <xf numFmtId="0" fontId="2" fillId="0" borderId="12" xfId="67" applyBorder="1">
      <alignment/>
      <protection/>
    </xf>
    <xf numFmtId="0" fontId="2" fillId="0" borderId="13" xfId="67" applyBorder="1">
      <alignment/>
      <protection/>
    </xf>
    <xf numFmtId="0" fontId="7" fillId="0" borderId="14" xfId="67" applyFont="1" applyBorder="1" applyAlignment="1">
      <alignment horizontal="center" vertical="center" wrapText="1"/>
      <protection/>
    </xf>
    <xf numFmtId="0" fontId="7" fillId="0" borderId="15" xfId="67" applyFont="1" applyBorder="1" applyAlignment="1">
      <alignment horizontal="center" vertical="center" wrapText="1"/>
      <protection/>
    </xf>
    <xf numFmtId="0" fontId="6" fillId="0" borderId="16" xfId="67" applyFont="1" applyFill="1" applyBorder="1" applyAlignment="1">
      <alignment horizontal="center" vertical="center" wrapText="1"/>
      <protection/>
    </xf>
    <xf numFmtId="0" fontId="6" fillId="0" borderId="17" xfId="67" applyFont="1" applyBorder="1" applyAlignment="1">
      <alignment horizontal="center" vertical="center" wrapText="1"/>
      <protection/>
    </xf>
    <xf numFmtId="0" fontId="6" fillId="0" borderId="18" xfId="67" applyFont="1" applyBorder="1" applyAlignment="1">
      <alignment horizontal="center" vertical="center" wrapText="1"/>
      <protection/>
    </xf>
    <xf numFmtId="0" fontId="6" fillId="0" borderId="19" xfId="67" applyFont="1" applyFill="1" applyBorder="1" applyAlignment="1">
      <alignment horizontal="center" vertical="center" wrapText="1"/>
      <protection/>
    </xf>
    <xf numFmtId="0" fontId="6" fillId="0" borderId="20" xfId="67" applyFont="1" applyFill="1" applyBorder="1" applyAlignment="1">
      <alignment horizontal="center" vertical="center" wrapText="1"/>
      <protection/>
    </xf>
    <xf numFmtId="0" fontId="10" fillId="0" borderId="19" xfId="55" applyFont="1" applyFill="1" applyBorder="1" applyAlignment="1">
      <alignment horizontal="center" vertical="center" wrapText="1"/>
      <protection/>
    </xf>
    <xf numFmtId="0" fontId="11" fillId="33" borderId="0" xfId="67" applyFont="1" applyFill="1" applyAlignment="1">
      <alignment horizontal="center" vertical="center" wrapText="1"/>
      <protection/>
    </xf>
    <xf numFmtId="0" fontId="7" fillId="0" borderId="0" xfId="67" applyFont="1" applyAlignment="1">
      <alignment horizontal="center" vertical="center" wrapText="1"/>
      <protection/>
    </xf>
    <xf numFmtId="49" fontId="6" fillId="35" borderId="17" xfId="67" applyNumberFormat="1" applyFont="1" applyFill="1" applyBorder="1" applyAlignment="1">
      <alignment horizontal="left" vertical="center" wrapText="1" indent="1"/>
      <protection/>
    </xf>
    <xf numFmtId="0" fontId="2" fillId="35" borderId="21" xfId="64" applyFont="1" applyFill="1" applyBorder="1" applyAlignment="1">
      <alignment horizontal="left" vertical="center" indent="1"/>
      <protection/>
    </xf>
    <xf numFmtId="0" fontId="2" fillId="0" borderId="22" xfId="67" applyFont="1" applyFill="1" applyBorder="1" applyAlignment="1">
      <alignment horizontal="center" vertical="center" wrapText="1"/>
      <protection/>
    </xf>
    <xf numFmtId="0" fontId="2" fillId="0" borderId="21" xfId="67" applyFont="1" applyBorder="1" applyAlignment="1">
      <alignment horizontal="left" vertical="center" wrapText="1" indent="1"/>
      <protection/>
    </xf>
    <xf numFmtId="2" fontId="2" fillId="0" borderId="23" xfId="67" applyNumberFormat="1" applyFont="1" applyFill="1" applyBorder="1" applyAlignment="1">
      <alignment horizontal="center" vertical="center" wrapText="1"/>
      <protection/>
    </xf>
    <xf numFmtId="1" fontId="2" fillId="0" borderId="23" xfId="67" applyNumberFormat="1" applyFont="1" applyFill="1" applyBorder="1" applyAlignment="1">
      <alignment horizontal="center" vertical="center" wrapText="1"/>
      <protection/>
    </xf>
    <xf numFmtId="1" fontId="2" fillId="0" borderId="21" xfId="67" applyNumberFormat="1" applyFont="1" applyFill="1" applyBorder="1" applyAlignment="1">
      <alignment horizontal="center" vertical="center" wrapText="1"/>
      <protection/>
    </xf>
    <xf numFmtId="2" fontId="2" fillId="0" borderId="19" xfId="67" applyNumberFormat="1" applyFont="1" applyFill="1" applyBorder="1" applyAlignment="1">
      <alignment horizontal="center" vertical="center" wrapText="1"/>
      <protection/>
    </xf>
    <xf numFmtId="2" fontId="2" fillId="0" borderId="18" xfId="67" applyNumberFormat="1" applyFont="1" applyFill="1" applyBorder="1" applyAlignment="1">
      <alignment horizontal="center" vertical="center" wrapText="1"/>
      <protection/>
    </xf>
    <xf numFmtId="0" fontId="7" fillId="34" borderId="0" xfId="67" applyFont="1" applyFill="1" applyAlignment="1">
      <alignment horizontal="center" vertical="center" wrapText="1"/>
      <protection/>
    </xf>
    <xf numFmtId="0" fontId="7" fillId="33" borderId="0" xfId="67" applyFont="1" applyFill="1" applyAlignment="1">
      <alignment horizontal="center" vertical="center" wrapText="1"/>
      <protection/>
    </xf>
    <xf numFmtId="0" fontId="12" fillId="33" borderId="0" xfId="67" applyFont="1" applyFill="1">
      <alignment/>
      <protection/>
    </xf>
    <xf numFmtId="0" fontId="13" fillId="0" borderId="0" xfId="67" applyFont="1">
      <alignment/>
      <protection/>
    </xf>
    <xf numFmtId="0" fontId="13" fillId="0" borderId="14" xfId="67" applyFont="1" applyBorder="1">
      <alignment/>
      <protection/>
    </xf>
    <xf numFmtId="0" fontId="13" fillId="0" borderId="15" xfId="67" applyFont="1" applyBorder="1">
      <alignment/>
      <protection/>
    </xf>
    <xf numFmtId="0" fontId="13" fillId="34" borderId="0" xfId="67" applyFont="1" applyFill="1">
      <alignment/>
      <protection/>
    </xf>
    <xf numFmtId="0" fontId="13" fillId="33" borderId="0" xfId="67" applyFont="1" applyFill="1">
      <alignment/>
      <protection/>
    </xf>
    <xf numFmtId="0" fontId="6" fillId="35" borderId="24" xfId="64" applyFont="1" applyFill="1" applyBorder="1" applyAlignment="1">
      <alignment horizontal="left" vertical="center" wrapText="1" indent="1"/>
      <protection/>
    </xf>
    <xf numFmtId="0" fontId="6" fillId="35" borderId="17" xfId="64" applyFont="1" applyFill="1" applyBorder="1" applyAlignment="1">
      <alignment horizontal="left" vertical="center" wrapText="1" indent="1"/>
      <protection/>
    </xf>
    <xf numFmtId="0" fontId="2" fillId="0" borderId="21" xfId="67" applyFont="1" applyFill="1" applyBorder="1" applyAlignment="1">
      <alignment horizontal="left" vertical="center" wrapText="1" indent="1"/>
      <protection/>
    </xf>
    <xf numFmtId="0" fontId="95" fillId="33" borderId="0" xfId="67" applyFont="1" applyFill="1" applyAlignment="1">
      <alignment horizontal="left" indent="1"/>
      <protection/>
    </xf>
    <xf numFmtId="0" fontId="95" fillId="0" borderId="0" xfId="67" applyFont="1" applyAlignment="1">
      <alignment horizontal="left" indent="1"/>
      <protection/>
    </xf>
    <xf numFmtId="0" fontId="95" fillId="0" borderId="14" xfId="67" applyFont="1" applyBorder="1" applyAlignment="1">
      <alignment horizontal="left" indent="1"/>
      <protection/>
    </xf>
    <xf numFmtId="49" fontId="96" fillId="0" borderId="19" xfId="67" applyNumberFormat="1" applyFont="1" applyFill="1" applyBorder="1" applyAlignment="1">
      <alignment horizontal="left" vertical="center" wrapText="1" indent="2"/>
      <protection/>
    </xf>
    <xf numFmtId="49" fontId="95" fillId="0" borderId="19" xfId="67" applyNumberFormat="1" applyFont="1" applyFill="1" applyBorder="1" applyAlignment="1">
      <alignment horizontal="left" vertical="center" wrapText="1" indent="2"/>
      <protection/>
    </xf>
    <xf numFmtId="49" fontId="95" fillId="0" borderId="19" xfId="67" applyNumberFormat="1" applyFont="1" applyFill="1" applyBorder="1" applyAlignment="1">
      <alignment horizontal="left" vertical="center" wrapText="1" indent="1"/>
      <protection/>
    </xf>
    <xf numFmtId="49" fontId="95" fillId="0" borderId="19" xfId="67" applyNumberFormat="1" applyFont="1" applyBorder="1" applyAlignment="1">
      <alignment horizontal="left" vertical="center" wrapText="1" indent="1"/>
      <protection/>
    </xf>
    <xf numFmtId="0" fontId="95" fillId="0" borderId="15" xfId="67" applyFont="1" applyBorder="1" applyAlignment="1">
      <alignment horizontal="left" indent="1"/>
      <protection/>
    </xf>
    <xf numFmtId="0" fontId="95" fillId="34" borderId="0" xfId="67" applyFont="1" applyFill="1" applyAlignment="1">
      <alignment horizontal="left" indent="1"/>
      <protection/>
    </xf>
    <xf numFmtId="0" fontId="14" fillId="0" borderId="25" xfId="67" applyFont="1" applyFill="1" applyBorder="1" applyAlignment="1">
      <alignment horizontal="center" vertical="center" wrapText="1"/>
      <protection/>
    </xf>
    <xf numFmtId="173" fontId="6" fillId="0" borderId="19" xfId="67" applyNumberFormat="1" applyFont="1" applyFill="1" applyBorder="1" applyAlignment="1">
      <alignment horizontal="center" vertical="center" wrapText="1"/>
      <protection/>
    </xf>
    <xf numFmtId="0" fontId="2" fillId="0" borderId="26" xfId="67" applyFont="1" applyFill="1" applyBorder="1" applyAlignment="1">
      <alignment horizontal="center" vertical="center" wrapText="1"/>
      <protection/>
    </xf>
    <xf numFmtId="0" fontId="2" fillId="0" borderId="25" xfId="67" applyFont="1" applyFill="1" applyBorder="1" applyAlignment="1">
      <alignment horizontal="center" vertical="center" wrapText="1"/>
      <protection/>
    </xf>
    <xf numFmtId="0" fontId="2" fillId="35" borderId="27" xfId="64" applyFont="1" applyFill="1" applyBorder="1" applyAlignment="1">
      <alignment horizontal="left" vertical="center" indent="1"/>
      <protection/>
    </xf>
    <xf numFmtId="49" fontId="6" fillId="35" borderId="24" xfId="67" applyNumberFormat="1" applyFont="1" applyFill="1" applyBorder="1" applyAlignment="1">
      <alignment horizontal="left" vertical="center" wrapText="1" indent="1"/>
      <protection/>
    </xf>
    <xf numFmtId="0" fontId="2" fillId="36" borderId="21" xfId="67" applyFont="1" applyFill="1" applyBorder="1" applyAlignment="1">
      <alignment horizontal="left" vertical="center" wrapText="1" indent="1"/>
      <protection/>
    </xf>
    <xf numFmtId="1" fontId="2" fillId="0" borderId="19" xfId="67" applyNumberFormat="1" applyFont="1" applyFill="1" applyBorder="1" applyAlignment="1">
      <alignment horizontal="center" vertical="center" wrapText="1"/>
      <protection/>
    </xf>
    <xf numFmtId="173" fontId="6" fillId="0" borderId="18" xfId="67" applyNumberFormat="1" applyFont="1" applyFill="1" applyBorder="1" applyAlignment="1">
      <alignment horizontal="center" vertical="center" wrapText="1"/>
      <protection/>
    </xf>
    <xf numFmtId="0" fontId="2" fillId="35" borderId="23" xfId="64" applyFont="1" applyFill="1" applyBorder="1" applyAlignment="1">
      <alignment horizontal="left" indent="1"/>
      <protection/>
    </xf>
    <xf numFmtId="49" fontId="96" fillId="35" borderId="19" xfId="67" applyNumberFormat="1" applyFont="1" applyFill="1" applyBorder="1" applyAlignment="1">
      <alignment horizontal="left" vertical="center" wrapText="1" indent="2"/>
      <protection/>
    </xf>
    <xf numFmtId="49" fontId="95" fillId="35" borderId="19" xfId="67" applyNumberFormat="1" applyFont="1" applyFill="1" applyBorder="1" applyAlignment="1">
      <alignment horizontal="left" vertical="center" wrapText="1" indent="2"/>
      <protection/>
    </xf>
    <xf numFmtId="0" fontId="6" fillId="35" borderId="17" xfId="54" applyFont="1" applyFill="1" applyBorder="1" applyAlignment="1">
      <alignment horizontal="left" vertical="center" indent="1"/>
      <protection/>
    </xf>
    <xf numFmtId="0" fontId="6" fillId="0" borderId="22" xfId="67" applyFont="1" applyFill="1" applyBorder="1" applyAlignment="1">
      <alignment horizontal="center" vertical="center" wrapText="1"/>
      <protection/>
    </xf>
    <xf numFmtId="174" fontId="10" fillId="35" borderId="15" xfId="67" applyNumberFormat="1" applyFont="1" applyFill="1" applyBorder="1" applyAlignment="1">
      <alignment vertical="center" wrapText="1"/>
      <protection/>
    </xf>
    <xf numFmtId="0" fontId="2" fillId="0" borderId="26" xfId="67" applyFont="1" applyBorder="1" applyAlignment="1">
      <alignment horizontal="left" vertical="center" wrapText="1" indent="1"/>
      <protection/>
    </xf>
    <xf numFmtId="0" fontId="2" fillId="35" borderId="21" xfId="64" applyFont="1" applyFill="1" applyBorder="1" applyAlignment="1">
      <alignment horizontal="left" vertical="center" wrapText="1" indent="1"/>
      <protection/>
    </xf>
    <xf numFmtId="49" fontId="96" fillId="35" borderId="19" xfId="67" applyNumberFormat="1" applyFont="1" applyFill="1" applyBorder="1" applyAlignment="1">
      <alignment horizontal="left" wrapText="1" indent="2"/>
      <protection/>
    </xf>
    <xf numFmtId="0" fontId="6" fillId="35" borderId="28" xfId="64" applyFont="1" applyFill="1" applyBorder="1" applyAlignment="1">
      <alignment horizontal="left" vertical="center" wrapText="1" indent="1"/>
      <protection/>
    </xf>
    <xf numFmtId="0" fontId="12" fillId="33" borderId="20" xfId="67" applyFont="1" applyFill="1" applyBorder="1">
      <alignment/>
      <protection/>
    </xf>
    <xf numFmtId="0" fontId="13" fillId="0" borderId="20" xfId="67" applyFont="1" applyBorder="1">
      <alignment/>
      <protection/>
    </xf>
    <xf numFmtId="0" fontId="13" fillId="0" borderId="29" xfId="67" applyFont="1" applyBorder="1">
      <alignment/>
      <protection/>
    </xf>
    <xf numFmtId="174" fontId="10" fillId="35" borderId="16" xfId="67" applyNumberFormat="1" applyFont="1" applyFill="1" applyBorder="1" applyAlignment="1">
      <alignment vertical="center" wrapText="1"/>
      <protection/>
    </xf>
    <xf numFmtId="0" fontId="13" fillId="34" borderId="20" xfId="67" applyFont="1" applyFill="1" applyBorder="1">
      <alignment/>
      <protection/>
    </xf>
    <xf numFmtId="0" fontId="13" fillId="33" borderId="20" xfId="67" applyFont="1" applyFill="1" applyBorder="1">
      <alignment/>
      <protection/>
    </xf>
    <xf numFmtId="0" fontId="2" fillId="33" borderId="0" xfId="67" applyFont="1" applyFill="1" applyAlignment="1">
      <alignment horizontal="center" vertical="center" wrapText="1"/>
      <protection/>
    </xf>
    <xf numFmtId="0" fontId="2" fillId="0" borderId="0" xfId="67" applyFont="1" applyAlignment="1">
      <alignment horizontal="center" vertical="center" wrapText="1"/>
      <protection/>
    </xf>
    <xf numFmtId="0" fontId="2" fillId="0" borderId="14" xfId="67" applyFont="1" applyBorder="1" applyAlignment="1">
      <alignment horizontal="center" vertical="center" wrapText="1"/>
      <protection/>
    </xf>
    <xf numFmtId="0" fontId="2" fillId="0" borderId="30" xfId="67" applyFont="1" applyFill="1" applyBorder="1" applyAlignment="1">
      <alignment horizontal="center" vertical="center" wrapText="1"/>
      <protection/>
    </xf>
    <xf numFmtId="0" fontId="2" fillId="0" borderId="31" xfId="67" applyFont="1" applyBorder="1" applyAlignment="1">
      <alignment horizontal="left" vertical="center" wrapText="1" indent="1"/>
      <protection/>
    </xf>
    <xf numFmtId="2" fontId="2" fillId="0" borderId="32" xfId="67" applyNumberFormat="1" applyFont="1" applyFill="1" applyBorder="1" applyAlignment="1">
      <alignment horizontal="center" vertical="center" wrapText="1"/>
      <protection/>
    </xf>
    <xf numFmtId="1" fontId="2" fillId="0" borderId="32" xfId="67" applyNumberFormat="1" applyFont="1" applyFill="1" applyBorder="1" applyAlignment="1">
      <alignment horizontal="center" vertical="center" wrapText="1"/>
      <protection/>
    </xf>
    <xf numFmtId="1" fontId="2" fillId="0" borderId="31" xfId="67" applyNumberFormat="1" applyFont="1" applyFill="1" applyBorder="1" applyAlignment="1">
      <alignment horizontal="center" vertical="center" wrapText="1"/>
      <protection/>
    </xf>
    <xf numFmtId="2" fontId="2" fillId="0" borderId="20" xfId="67" applyNumberFormat="1" applyFont="1" applyFill="1" applyBorder="1" applyAlignment="1">
      <alignment horizontal="center" vertical="center" wrapText="1"/>
      <protection/>
    </xf>
    <xf numFmtId="2" fontId="2" fillId="0" borderId="33" xfId="67" applyNumberFormat="1" applyFont="1" applyFill="1" applyBorder="1" applyAlignment="1">
      <alignment horizontal="center" vertical="center" wrapText="1"/>
      <protection/>
    </xf>
    <xf numFmtId="0" fontId="2" fillId="0" borderId="15" xfId="67" applyFont="1" applyBorder="1" applyAlignment="1">
      <alignment horizontal="center" vertical="center" wrapText="1"/>
      <protection/>
    </xf>
    <xf numFmtId="0" fontId="2" fillId="34" borderId="0" xfId="67" applyFont="1" applyFill="1" applyAlignment="1">
      <alignment horizontal="center" vertical="center" wrapText="1"/>
      <protection/>
    </xf>
    <xf numFmtId="0" fontId="2" fillId="35" borderId="34" xfId="64" applyFont="1" applyFill="1" applyBorder="1" applyAlignment="1">
      <alignment horizontal="left" vertical="center" indent="1"/>
      <protection/>
    </xf>
    <xf numFmtId="0" fontId="2" fillId="35" borderId="31" xfId="64" applyFont="1" applyFill="1" applyBorder="1" applyAlignment="1">
      <alignment horizontal="left" vertical="center" indent="1"/>
      <protection/>
    </xf>
    <xf numFmtId="0" fontId="6" fillId="35" borderId="19" xfId="64" applyFont="1" applyFill="1" applyBorder="1" applyAlignment="1">
      <alignment horizontal="left" vertical="center" wrapText="1" indent="1"/>
      <protection/>
    </xf>
    <xf numFmtId="0" fontId="2" fillId="35" borderId="19" xfId="64" applyFont="1" applyFill="1" applyBorder="1" applyAlignment="1">
      <alignment horizontal="left" vertical="center" indent="1"/>
      <protection/>
    </xf>
    <xf numFmtId="0" fontId="2" fillId="0" borderId="35" xfId="67" applyFont="1" applyFill="1" applyBorder="1" applyAlignment="1">
      <alignment horizontal="center" vertical="center" wrapText="1"/>
      <protection/>
    </xf>
    <xf numFmtId="0" fontId="2" fillId="0" borderId="19" xfId="67" applyFont="1" applyFill="1" applyBorder="1" applyAlignment="1">
      <alignment horizontal="left" vertical="center" wrapText="1" indent="1"/>
      <protection/>
    </xf>
    <xf numFmtId="0" fontId="13" fillId="0" borderId="36" xfId="67" applyFont="1" applyBorder="1">
      <alignment/>
      <protection/>
    </xf>
    <xf numFmtId="0" fontId="2" fillId="0" borderId="10" xfId="67" applyFont="1" applyFill="1" applyBorder="1" applyAlignment="1">
      <alignment horizontal="left" vertical="center" indent="1"/>
      <protection/>
    </xf>
    <xf numFmtId="0" fontId="16" fillId="0" borderId="10" xfId="67" applyFont="1" applyFill="1" applyBorder="1">
      <alignment/>
      <protection/>
    </xf>
    <xf numFmtId="0" fontId="13" fillId="0" borderId="37" xfId="67" applyFont="1" applyFill="1" applyBorder="1" applyAlignment="1">
      <alignment horizontal="center"/>
      <protection/>
    </xf>
    <xf numFmtId="0" fontId="13" fillId="0" borderId="10" xfId="67" applyFont="1" applyBorder="1" applyAlignment="1">
      <alignment horizontal="left"/>
      <protection/>
    </xf>
    <xf numFmtId="2" fontId="13" fillId="0" borderId="10" xfId="67" applyNumberFormat="1" applyFont="1" applyBorder="1" applyAlignment="1">
      <alignment horizontal="left"/>
      <protection/>
    </xf>
    <xf numFmtId="0" fontId="13" fillId="36" borderId="10" xfId="67" applyFont="1" applyFill="1" applyBorder="1">
      <alignment/>
      <protection/>
    </xf>
    <xf numFmtId="0" fontId="13" fillId="0" borderId="10" xfId="67" applyFont="1" applyBorder="1">
      <alignment/>
      <protection/>
    </xf>
    <xf numFmtId="0" fontId="13" fillId="0" borderId="38" xfId="67" applyFont="1" applyBorder="1">
      <alignment/>
      <protection/>
    </xf>
    <xf numFmtId="0" fontId="13" fillId="0" borderId="0" xfId="67" applyFont="1" applyBorder="1">
      <alignment/>
      <protection/>
    </xf>
    <xf numFmtId="0" fontId="2" fillId="0" borderId="0" xfId="67" applyFont="1" applyFill="1" applyBorder="1" applyAlignment="1">
      <alignment horizontal="left" vertical="center" indent="1"/>
      <protection/>
    </xf>
    <xf numFmtId="0" fontId="16" fillId="0" borderId="0" xfId="67" applyFont="1" applyFill="1" applyBorder="1">
      <alignment/>
      <protection/>
    </xf>
    <xf numFmtId="0" fontId="13" fillId="0" borderId="0" xfId="67" applyFont="1" applyFill="1" applyBorder="1" applyAlignment="1">
      <alignment horizontal="center"/>
      <protection/>
    </xf>
    <xf numFmtId="0" fontId="13" fillId="0" borderId="0" xfId="67" applyFont="1" applyBorder="1" applyAlignment="1">
      <alignment horizontal="left"/>
      <protection/>
    </xf>
    <xf numFmtId="2" fontId="13" fillId="0" borderId="0" xfId="67" applyNumberFormat="1" applyFont="1" applyBorder="1" applyAlignment="1">
      <alignment horizontal="left"/>
      <protection/>
    </xf>
    <xf numFmtId="0" fontId="2" fillId="0" borderId="0" xfId="67" applyFont="1" applyBorder="1">
      <alignment/>
      <protection/>
    </xf>
    <xf numFmtId="0" fontId="17" fillId="0" borderId="0" xfId="67" applyFont="1" applyFill="1" applyBorder="1">
      <alignment/>
      <protection/>
    </xf>
    <xf numFmtId="0" fontId="2" fillId="0" borderId="0" xfId="67" applyFont="1" applyFill="1" applyBorder="1" applyAlignment="1">
      <alignment horizontal="center"/>
      <protection/>
    </xf>
    <xf numFmtId="2" fontId="2" fillId="0" borderId="0" xfId="67" applyNumberFormat="1" applyFont="1" applyBorder="1" applyAlignment="1">
      <alignment horizontal="left"/>
      <protection/>
    </xf>
    <xf numFmtId="0" fontId="2" fillId="0" borderId="0" xfId="67" applyFont="1" applyBorder="1" applyAlignment="1">
      <alignment horizontal="left"/>
      <protection/>
    </xf>
    <xf numFmtId="0" fontId="2" fillId="0" borderId="0" xfId="67" applyFont="1" applyFill="1" applyBorder="1">
      <alignment/>
      <protection/>
    </xf>
    <xf numFmtId="0" fontId="2" fillId="0" borderId="0" xfId="67" applyFont="1">
      <alignment/>
      <protection/>
    </xf>
    <xf numFmtId="0" fontId="18" fillId="0" borderId="0" xfId="67" applyFont="1" applyBorder="1">
      <alignment/>
      <protection/>
    </xf>
    <xf numFmtId="0" fontId="19" fillId="33" borderId="0" xfId="56" applyFont="1" applyFill="1">
      <alignment/>
      <protection/>
    </xf>
    <xf numFmtId="0" fontId="20" fillId="0" borderId="0" xfId="56" applyFont="1">
      <alignment/>
      <protection/>
    </xf>
    <xf numFmtId="0" fontId="20" fillId="33" borderId="0" xfId="67" applyFont="1" applyFill="1">
      <alignment/>
      <protection/>
    </xf>
    <xf numFmtId="14" fontId="10" fillId="0" borderId="10" xfId="67" applyNumberFormat="1" applyFont="1" applyFill="1" applyBorder="1" applyAlignment="1">
      <alignment horizontal="center"/>
      <protection/>
    </xf>
    <xf numFmtId="14" fontId="6" fillId="0" borderId="10" xfId="67" applyNumberFormat="1" applyFont="1" applyFill="1" applyBorder="1" applyAlignment="1">
      <alignment horizontal="left" indent="1"/>
      <protection/>
    </xf>
    <xf numFmtId="0" fontId="2" fillId="0" borderId="0" xfId="67" applyFont="1" applyAlignment="1">
      <alignment horizontal="center"/>
      <protection/>
    </xf>
    <xf numFmtId="0" fontId="6" fillId="0" borderId="10" xfId="67" applyFont="1" applyBorder="1" applyAlignment="1">
      <alignment/>
      <protection/>
    </xf>
    <xf numFmtId="0" fontId="6" fillId="0" borderId="0" xfId="67" applyFont="1" applyBorder="1" applyAlignment="1">
      <alignment/>
      <protection/>
    </xf>
    <xf numFmtId="0" fontId="4" fillId="0" borderId="12" xfId="67" applyFont="1" applyBorder="1">
      <alignment/>
      <protection/>
    </xf>
    <xf numFmtId="0" fontId="2" fillId="0" borderId="12" xfId="67" applyFont="1" applyBorder="1" applyAlignment="1">
      <alignment horizontal="center"/>
      <protection/>
    </xf>
    <xf numFmtId="0" fontId="10" fillId="0" borderId="14" xfId="67" applyFont="1" applyBorder="1" applyAlignment="1">
      <alignment horizontal="left"/>
      <protection/>
    </xf>
    <xf numFmtId="0" fontId="6" fillId="0" borderId="15" xfId="67" applyFont="1" applyFill="1" applyBorder="1" applyAlignment="1">
      <alignment vertical="center"/>
      <protection/>
    </xf>
    <xf numFmtId="2" fontId="6" fillId="0" borderId="15" xfId="67" applyNumberFormat="1" applyFont="1" applyBorder="1" applyAlignment="1">
      <alignment vertical="center"/>
      <protection/>
    </xf>
    <xf numFmtId="0" fontId="16" fillId="0" borderId="37" xfId="67" applyFont="1" applyBorder="1">
      <alignment/>
      <protection/>
    </xf>
    <xf numFmtId="0" fontId="13" fillId="0" borderId="37" xfId="67" applyFont="1" applyBorder="1" applyAlignment="1">
      <alignment horizontal="center"/>
      <protection/>
    </xf>
    <xf numFmtId="0" fontId="13" fillId="0" borderId="37" xfId="67" applyFont="1" applyBorder="1" applyAlignment="1">
      <alignment horizontal="left"/>
      <protection/>
    </xf>
    <xf numFmtId="2" fontId="13" fillId="0" borderId="37" xfId="67" applyNumberFormat="1" applyFont="1" applyBorder="1" applyAlignment="1">
      <alignment horizontal="left"/>
      <protection/>
    </xf>
    <xf numFmtId="0" fontId="16" fillId="0" borderId="0" xfId="67" applyFont="1" applyBorder="1">
      <alignment/>
      <protection/>
    </xf>
    <xf numFmtId="0" fontId="13" fillId="0" borderId="0" xfId="67" applyFont="1" applyBorder="1" applyAlignment="1">
      <alignment horizontal="center"/>
      <protection/>
    </xf>
    <xf numFmtId="0" fontId="21" fillId="0" borderId="0" xfId="54" applyFont="1" applyFill="1" applyBorder="1" applyAlignment="1">
      <alignment vertical="center"/>
      <protection/>
    </xf>
    <xf numFmtId="0" fontId="0" fillId="0" borderId="0" xfId="54" applyAlignment="1">
      <alignment/>
      <protection/>
    </xf>
    <xf numFmtId="0" fontId="22" fillId="0" borderId="0" xfId="54" applyFont="1" applyFill="1" applyBorder="1" applyAlignment="1">
      <alignment vertical="center"/>
      <protection/>
    </xf>
    <xf numFmtId="0" fontId="23" fillId="0" borderId="0" xfId="67" applyFont="1" applyFill="1" applyBorder="1" applyAlignment="1">
      <alignment vertical="center"/>
      <protection/>
    </xf>
    <xf numFmtId="0" fontId="23" fillId="34" borderId="0" xfId="67" applyFont="1" applyFill="1" applyBorder="1" applyAlignment="1">
      <alignment vertical="center"/>
      <protection/>
    </xf>
    <xf numFmtId="0" fontId="0" fillId="0" borderId="0" xfId="54" applyFont="1" applyAlignment="1">
      <alignment/>
      <protection/>
    </xf>
    <xf numFmtId="0" fontId="24" fillId="0" borderId="0" xfId="54" applyFont="1" applyFill="1" applyBorder="1" applyAlignment="1">
      <alignment vertical="center"/>
      <protection/>
    </xf>
    <xf numFmtId="0" fontId="25" fillId="0" borderId="0" xfId="67" applyFont="1" applyBorder="1" applyAlignment="1">
      <alignment horizontal="left"/>
      <protection/>
    </xf>
    <xf numFmtId="0" fontId="6" fillId="0" borderId="0" xfId="67" applyFont="1" applyFill="1" applyBorder="1" applyAlignment="1">
      <alignment horizontal="left" vertical="center" indent="1"/>
      <protection/>
    </xf>
    <xf numFmtId="0" fontId="13" fillId="0" borderId="0" xfId="67" applyFont="1" applyFill="1" applyBorder="1" applyAlignment="1">
      <alignment horizontal="left"/>
      <protection/>
    </xf>
    <xf numFmtId="0" fontId="25" fillId="0" borderId="0" xfId="67" applyFont="1" applyFill="1" applyBorder="1" applyAlignment="1">
      <alignment horizontal="center"/>
      <protection/>
    </xf>
    <xf numFmtId="0" fontId="16" fillId="0" borderId="0" xfId="67" applyFont="1" applyFill="1">
      <alignment/>
      <protection/>
    </xf>
    <xf numFmtId="0" fontId="13" fillId="0" borderId="0" xfId="67" applyFont="1" applyFill="1" applyAlignment="1">
      <alignment horizontal="center"/>
      <protection/>
    </xf>
    <xf numFmtId="0" fontId="13" fillId="0" borderId="0" xfId="67" applyFont="1" applyAlignment="1">
      <alignment horizontal="left"/>
      <protection/>
    </xf>
    <xf numFmtId="0" fontId="13" fillId="34" borderId="0" xfId="67" applyFont="1" applyFill="1" applyAlignment="1">
      <alignment horizontal="left"/>
      <protection/>
    </xf>
    <xf numFmtId="0" fontId="2" fillId="0" borderId="0" xfId="67" applyFont="1" applyFill="1">
      <alignment/>
      <protection/>
    </xf>
    <xf numFmtId="0" fontId="2" fillId="33" borderId="0" xfId="67" applyFill="1" applyAlignment="1">
      <alignment horizontal="center"/>
      <protection/>
    </xf>
    <xf numFmtId="0" fontId="4" fillId="33" borderId="0" xfId="67" applyFont="1" applyFill="1">
      <alignment/>
      <protection/>
    </xf>
    <xf numFmtId="0" fontId="4" fillId="33" borderId="0" xfId="67" applyFont="1" applyFill="1" applyAlignment="1">
      <alignment horizontal="center"/>
      <protection/>
    </xf>
    <xf numFmtId="0" fontId="2" fillId="33" borderId="0" xfId="67" applyFont="1" applyFill="1" applyAlignment="1">
      <alignment horizontal="center"/>
      <protection/>
    </xf>
    <xf numFmtId="0" fontId="2" fillId="0" borderId="0" xfId="67" applyFill="1" applyAlignment="1">
      <alignment horizontal="center"/>
      <protection/>
    </xf>
    <xf numFmtId="0" fontId="4" fillId="0" borderId="0" xfId="67" applyFont="1" applyFill="1" applyAlignment="1">
      <alignment horizontal="center"/>
      <protection/>
    </xf>
    <xf numFmtId="0" fontId="2" fillId="0" borderId="0" xfId="67" applyAlignment="1">
      <alignment horizontal="center"/>
      <protection/>
    </xf>
    <xf numFmtId="0" fontId="4" fillId="0" borderId="0" xfId="67" applyFont="1">
      <alignment/>
      <protection/>
    </xf>
    <xf numFmtId="0" fontId="4" fillId="0" borderId="0" xfId="67" applyFont="1" applyAlignment="1">
      <alignment horizontal="center"/>
      <protection/>
    </xf>
    <xf numFmtId="0" fontId="5" fillId="0" borderId="0" xfId="67" applyFont="1" applyAlignment="1">
      <alignment horizontal="left"/>
      <protection/>
    </xf>
    <xf numFmtId="0" fontId="26" fillId="0" borderId="0" xfId="67" applyFont="1" applyAlignment="1">
      <alignment horizontal="center"/>
      <protection/>
    </xf>
    <xf numFmtId="0" fontId="94" fillId="0" borderId="0" xfId="42" applyFont="1" applyAlignment="1" applyProtection="1">
      <alignment horizontal="left" vertical="top"/>
      <protection/>
    </xf>
    <xf numFmtId="14" fontId="10" fillId="0" borderId="10" xfId="67" applyNumberFormat="1" applyFont="1" applyFill="1" applyBorder="1" applyAlignment="1">
      <alignment/>
      <protection/>
    </xf>
    <xf numFmtId="14" fontId="10" fillId="0" borderId="10" xfId="67" applyNumberFormat="1" applyFont="1" applyBorder="1" applyAlignment="1">
      <alignment/>
      <protection/>
    </xf>
    <xf numFmtId="0" fontId="10" fillId="0" borderId="10" xfId="67" applyFont="1" applyBorder="1" applyAlignment="1">
      <alignment/>
      <protection/>
    </xf>
    <xf numFmtId="0" fontId="10" fillId="0" borderId="0" xfId="67" applyFont="1" applyBorder="1" applyAlignment="1">
      <alignment horizontal="center"/>
      <protection/>
    </xf>
    <xf numFmtId="0" fontId="2" fillId="0" borderId="12" xfId="67" applyBorder="1" applyAlignment="1">
      <alignment horizontal="center"/>
      <protection/>
    </xf>
    <xf numFmtId="0" fontId="4" fillId="0" borderId="12" xfId="67" applyFont="1" applyBorder="1" applyAlignment="1">
      <alignment horizontal="center"/>
      <protection/>
    </xf>
    <xf numFmtId="0" fontId="10" fillId="0" borderId="19" xfId="67" applyFont="1" applyBorder="1" applyAlignment="1">
      <alignment horizontal="center" vertical="center" wrapText="1"/>
      <protection/>
    </xf>
    <xf numFmtId="0" fontId="10" fillId="0" borderId="17" xfId="67" applyFont="1" applyBorder="1" applyAlignment="1">
      <alignment horizontal="center" vertical="center" wrapText="1"/>
      <protection/>
    </xf>
    <xf numFmtId="0" fontId="10" fillId="0" borderId="18" xfId="67" applyFont="1" applyBorder="1" applyAlignment="1">
      <alignment horizontal="center" vertical="center" wrapText="1"/>
      <protection/>
    </xf>
    <xf numFmtId="49" fontId="9" fillId="0" borderId="19" xfId="67" applyNumberFormat="1" applyFont="1" applyBorder="1" applyAlignment="1">
      <alignment horizontal="left" vertical="center" wrapText="1" indent="2"/>
      <protection/>
    </xf>
    <xf numFmtId="0" fontId="10" fillId="0" borderId="20" xfId="67" applyFont="1" applyBorder="1" applyAlignment="1">
      <alignment horizontal="center" vertical="center" wrapText="1"/>
      <protection/>
    </xf>
    <xf numFmtId="0" fontId="10" fillId="0" borderId="17" xfId="67" applyNumberFormat="1" applyFont="1" applyFill="1" applyBorder="1" applyAlignment="1">
      <alignment horizontal="center" vertical="top" wrapText="1"/>
      <protection/>
    </xf>
    <xf numFmtId="49" fontId="10" fillId="0" borderId="23" xfId="67" applyNumberFormat="1" applyFont="1" applyBorder="1" applyAlignment="1">
      <alignment horizontal="center" vertical="center" wrapText="1"/>
      <protection/>
    </xf>
    <xf numFmtId="0" fontId="10" fillId="0" borderId="21" xfId="67" applyFont="1" applyBorder="1" applyAlignment="1">
      <alignment horizontal="left" vertical="center" wrapText="1" indent="1"/>
      <protection/>
    </xf>
    <xf numFmtId="0" fontId="10" fillId="0" borderId="25" xfId="67" applyFont="1" applyBorder="1" applyAlignment="1">
      <alignment horizontal="center" vertical="center" wrapText="1"/>
      <protection/>
    </xf>
    <xf numFmtId="0" fontId="18" fillId="0" borderId="25" xfId="67" applyFont="1" applyBorder="1" applyAlignment="1">
      <alignment horizontal="center" vertical="center" wrapText="1"/>
      <protection/>
    </xf>
    <xf numFmtId="2" fontId="8" fillId="35" borderId="23" xfId="61" applyNumberFormat="1" applyFont="1" applyFill="1" applyBorder="1" applyAlignment="1">
      <alignment horizontal="center" vertical="center"/>
      <protection/>
    </xf>
    <xf numFmtId="1" fontId="8" fillId="35" borderId="18" xfId="61" applyNumberFormat="1" applyFont="1" applyFill="1" applyBorder="1" applyAlignment="1">
      <alignment horizontal="center" vertical="center"/>
      <protection/>
    </xf>
    <xf numFmtId="1" fontId="18" fillId="0" borderId="23" xfId="58" applyNumberFormat="1" applyFont="1" applyBorder="1" applyAlignment="1">
      <alignment horizontal="center" vertical="center"/>
      <protection/>
    </xf>
    <xf numFmtId="3" fontId="97" fillId="36" borderId="23" xfId="66" applyNumberFormat="1" applyFont="1" applyFill="1" applyBorder="1" applyAlignment="1">
      <alignment horizontal="center" wrapText="1"/>
      <protection/>
    </xf>
    <xf numFmtId="2" fontId="18" fillId="0" borderId="39" xfId="58" applyNumberFormat="1" applyFont="1" applyBorder="1" applyAlignment="1">
      <alignment horizontal="center" vertical="center"/>
      <protection/>
    </xf>
    <xf numFmtId="2" fontId="18" fillId="0" borderId="18" xfId="58" applyNumberFormat="1" applyFont="1" applyBorder="1" applyAlignment="1">
      <alignment horizontal="center" vertical="center"/>
      <protection/>
    </xf>
    <xf numFmtId="0" fontId="10" fillId="0" borderId="28" xfId="67" applyNumberFormat="1" applyFont="1" applyFill="1" applyBorder="1" applyAlignment="1">
      <alignment horizontal="center" vertical="center" wrapText="1"/>
      <protection/>
    </xf>
    <xf numFmtId="49" fontId="10" fillId="0" borderId="40" xfId="67" applyNumberFormat="1" applyFont="1" applyBorder="1" applyAlignment="1">
      <alignment horizontal="center" vertical="center" wrapText="1"/>
      <protection/>
    </xf>
    <xf numFmtId="0" fontId="10" fillId="0" borderId="27" xfId="67" applyFont="1" applyBorder="1" applyAlignment="1">
      <alignment horizontal="left" vertical="center" wrapText="1" indent="1"/>
      <protection/>
    </xf>
    <xf numFmtId="0" fontId="10" fillId="0" borderId="22" xfId="67" applyFont="1" applyBorder="1" applyAlignment="1">
      <alignment horizontal="center" vertical="center" wrapText="1"/>
      <protection/>
    </xf>
    <xf numFmtId="0" fontId="18" fillId="0" borderId="22" xfId="67" applyFont="1" applyFill="1" applyBorder="1" applyAlignment="1">
      <alignment horizontal="center" vertical="center" wrapText="1"/>
      <protection/>
    </xf>
    <xf numFmtId="2" fontId="18" fillId="0" borderId="40" xfId="58" applyNumberFormat="1" applyFont="1" applyBorder="1" applyAlignment="1">
      <alignment horizontal="center"/>
      <protection/>
    </xf>
    <xf numFmtId="1" fontId="18" fillId="0" borderId="40" xfId="58" applyNumberFormat="1" applyFont="1" applyBorder="1" applyAlignment="1">
      <alignment horizontal="center"/>
      <protection/>
    </xf>
    <xf numFmtId="1" fontId="18" fillId="0" borderId="25" xfId="67" applyNumberFormat="1" applyFont="1" applyBorder="1" applyAlignment="1">
      <alignment horizontal="center" vertical="center" wrapText="1"/>
      <protection/>
    </xf>
    <xf numFmtId="2" fontId="18" fillId="0" borderId="41" xfId="58" applyNumberFormat="1" applyFont="1" applyBorder="1" applyAlignment="1">
      <alignment horizontal="center"/>
      <protection/>
    </xf>
    <xf numFmtId="0" fontId="10" fillId="0" borderId="17" xfId="67" applyNumberFormat="1" applyFont="1" applyBorder="1" applyAlignment="1">
      <alignment horizontal="center" vertical="top" wrapText="1"/>
      <protection/>
    </xf>
    <xf numFmtId="1" fontId="8" fillId="35" borderId="23" xfId="61" applyNumberFormat="1" applyFont="1" applyFill="1" applyBorder="1" applyAlignment="1">
      <alignment horizontal="center" vertical="center"/>
      <protection/>
    </xf>
    <xf numFmtId="2" fontId="18" fillId="0" borderId="23" xfId="58" applyNumberFormat="1" applyFont="1" applyBorder="1" applyAlignment="1">
      <alignment horizontal="center" vertical="center"/>
      <protection/>
    </xf>
    <xf numFmtId="0" fontId="18" fillId="0" borderId="25" xfId="67" applyFont="1" applyFill="1" applyBorder="1" applyAlignment="1">
      <alignment horizontal="center" vertical="center" wrapText="1"/>
      <protection/>
    </xf>
    <xf numFmtId="49" fontId="9" fillId="0" borderId="19" xfId="67" applyNumberFormat="1" applyFont="1" applyBorder="1" applyAlignment="1">
      <alignment vertical="center" wrapText="1"/>
      <protection/>
    </xf>
    <xf numFmtId="2" fontId="9" fillId="0" borderId="19" xfId="67" applyNumberFormat="1" applyFont="1" applyBorder="1" applyAlignment="1">
      <alignment vertical="center" wrapText="1"/>
      <protection/>
    </xf>
    <xf numFmtId="2" fontId="27" fillId="0" borderId="19" xfId="67" applyNumberFormat="1" applyFont="1" applyBorder="1" applyAlignment="1">
      <alignment vertical="center" wrapText="1"/>
      <protection/>
    </xf>
    <xf numFmtId="2" fontId="27" fillId="0" borderId="18" xfId="67" applyNumberFormat="1" applyFont="1" applyBorder="1" applyAlignment="1">
      <alignment vertical="center" wrapText="1"/>
      <protection/>
    </xf>
    <xf numFmtId="2" fontId="18" fillId="0" borderId="39" xfId="58" applyNumberFormat="1" applyFont="1" applyBorder="1" applyAlignment="1">
      <alignment/>
      <protection/>
    </xf>
    <xf numFmtId="2" fontId="18" fillId="0" borderId="18" xfId="58" applyNumberFormat="1" applyFont="1" applyBorder="1" applyAlignment="1">
      <alignment/>
      <protection/>
    </xf>
    <xf numFmtId="49" fontId="9" fillId="0" borderId="19" xfId="67" applyNumberFormat="1" applyFont="1" applyFill="1" applyBorder="1" applyAlignment="1">
      <alignment vertical="center" wrapText="1"/>
      <protection/>
    </xf>
    <xf numFmtId="2" fontId="18" fillId="0" borderId="40" xfId="58" applyNumberFormat="1" applyFont="1" applyBorder="1" applyAlignment="1">
      <alignment horizontal="center" vertical="center"/>
      <protection/>
    </xf>
    <xf numFmtId="1" fontId="18" fillId="0" borderId="40" xfId="58" applyNumberFormat="1" applyFont="1" applyBorder="1" applyAlignment="1">
      <alignment horizontal="center" vertical="center"/>
      <protection/>
    </xf>
    <xf numFmtId="2" fontId="18" fillId="0" borderId="19" xfId="58" applyNumberFormat="1" applyFont="1" applyBorder="1" applyAlignment="1">
      <alignment horizontal="center" vertical="center"/>
      <protection/>
    </xf>
    <xf numFmtId="1" fontId="18" fillId="0" borderId="19" xfId="58" applyNumberFormat="1" applyFont="1" applyBorder="1" applyAlignment="1">
      <alignment horizontal="center" vertical="center"/>
      <protection/>
    </xf>
    <xf numFmtId="2" fontId="18" fillId="0" borderId="35" xfId="58" applyNumberFormat="1" applyFont="1" applyBorder="1" applyAlignment="1">
      <alignment horizontal="center"/>
      <protection/>
    </xf>
    <xf numFmtId="2" fontId="18" fillId="0" borderId="19" xfId="58" applyNumberFormat="1" applyFont="1" applyBorder="1" applyAlignment="1">
      <alignment horizontal="center"/>
      <protection/>
    </xf>
    <xf numFmtId="0" fontId="10" fillId="0" borderId="28" xfId="67" applyNumberFormat="1" applyFont="1" applyBorder="1" applyAlignment="1">
      <alignment horizontal="center" vertical="center" wrapText="1"/>
      <protection/>
    </xf>
    <xf numFmtId="0" fontId="18" fillId="0" borderId="22" xfId="67" applyFont="1" applyBorder="1" applyAlignment="1">
      <alignment horizontal="center" vertical="center" wrapText="1"/>
      <protection/>
    </xf>
    <xf numFmtId="2" fontId="18" fillId="0" borderId="35" xfId="58" applyNumberFormat="1" applyFont="1" applyBorder="1" applyAlignment="1">
      <alignment horizontal="center" vertical="center"/>
      <protection/>
    </xf>
    <xf numFmtId="2" fontId="18" fillId="0" borderId="41" xfId="58" applyNumberFormat="1" applyFont="1" applyBorder="1" applyAlignment="1">
      <alignment horizontal="center" vertical="center"/>
      <protection/>
    </xf>
    <xf numFmtId="0" fontId="10" fillId="36" borderId="21" xfId="67" applyFont="1" applyFill="1" applyBorder="1" applyAlignment="1">
      <alignment horizontal="left" vertical="center" wrapText="1" indent="1"/>
      <protection/>
    </xf>
    <xf numFmtId="0" fontId="10" fillId="36" borderId="27" xfId="67" applyFont="1" applyFill="1" applyBorder="1" applyAlignment="1">
      <alignment horizontal="left" vertical="center" wrapText="1" indent="1"/>
      <protection/>
    </xf>
    <xf numFmtId="0" fontId="10" fillId="0" borderId="17" xfId="67" applyNumberFormat="1" applyFont="1" applyFill="1" applyBorder="1" applyAlignment="1">
      <alignment horizontal="center" vertical="center" wrapText="1"/>
      <protection/>
    </xf>
    <xf numFmtId="0" fontId="13" fillId="36" borderId="14" xfId="67" applyFont="1" applyFill="1" applyBorder="1">
      <alignment/>
      <protection/>
    </xf>
    <xf numFmtId="0" fontId="13" fillId="36" borderId="15" xfId="67" applyFont="1" applyFill="1" applyBorder="1">
      <alignment/>
      <protection/>
    </xf>
    <xf numFmtId="0" fontId="13" fillId="36" borderId="0" xfId="67" applyFont="1" applyFill="1">
      <alignment/>
      <protection/>
    </xf>
    <xf numFmtId="2" fontId="18" fillId="0" borderId="39" xfId="58" applyNumberFormat="1" applyFont="1" applyBorder="1" applyAlignment="1">
      <alignment horizontal="center"/>
      <protection/>
    </xf>
    <xf numFmtId="2" fontId="18" fillId="0" borderId="18" xfId="58" applyNumberFormat="1" applyFont="1" applyBorder="1" applyAlignment="1">
      <alignment horizontal="center"/>
      <protection/>
    </xf>
    <xf numFmtId="0" fontId="16" fillId="0" borderId="37" xfId="67" applyFont="1" applyBorder="1" applyAlignment="1">
      <alignment horizontal="center"/>
      <protection/>
    </xf>
    <xf numFmtId="0" fontId="3" fillId="33" borderId="0" xfId="55" applyFont="1" applyFill="1">
      <alignment/>
      <protection/>
    </xf>
    <xf numFmtId="0" fontId="2" fillId="0" borderId="0" xfId="55">
      <alignment/>
      <protection/>
    </xf>
    <xf numFmtId="0" fontId="13" fillId="0" borderId="0" xfId="55" applyFont="1" applyBorder="1">
      <alignment/>
      <protection/>
    </xf>
    <xf numFmtId="0" fontId="28" fillId="0" borderId="0" xfId="55" applyFont="1" applyBorder="1" applyAlignment="1">
      <alignment horizontal="left" vertical="center"/>
      <protection/>
    </xf>
    <xf numFmtId="0" fontId="13" fillId="0" borderId="0" xfId="55" applyFont="1" applyBorder="1" applyAlignment="1">
      <alignment horizontal="center"/>
      <protection/>
    </xf>
    <xf numFmtId="0" fontId="16" fillId="0" borderId="0" xfId="55" applyFont="1" applyBorder="1" applyAlignment="1">
      <alignment horizontal="center"/>
      <protection/>
    </xf>
    <xf numFmtId="0" fontId="13" fillId="0" borderId="0" xfId="55" applyFont="1" applyBorder="1" applyAlignment="1">
      <alignment horizontal="left"/>
      <protection/>
    </xf>
    <xf numFmtId="0" fontId="2" fillId="35" borderId="0" xfId="55" applyFill="1">
      <alignment/>
      <protection/>
    </xf>
    <xf numFmtId="0" fontId="2" fillId="33" borderId="0" xfId="55" applyFill="1">
      <alignment/>
      <protection/>
    </xf>
    <xf numFmtId="0" fontId="13" fillId="0" borderId="0" xfId="55" applyFont="1">
      <alignment/>
      <protection/>
    </xf>
    <xf numFmtId="0" fontId="2" fillId="0" borderId="0" xfId="55" applyFont="1" applyFill="1">
      <alignment/>
      <protection/>
    </xf>
    <xf numFmtId="0" fontId="6" fillId="0" borderId="0" xfId="55" applyFont="1" applyFill="1" applyAlignment="1">
      <alignment horizontal="left" vertical="top" wrapText="1"/>
      <protection/>
    </xf>
    <xf numFmtId="0" fontId="2" fillId="0" borderId="0" xfId="55" applyFont="1" applyFill="1" applyBorder="1" applyAlignment="1">
      <alignment/>
      <protection/>
    </xf>
    <xf numFmtId="0" fontId="13" fillId="0" borderId="0" xfId="55" applyFont="1" applyFill="1">
      <alignment/>
      <protection/>
    </xf>
    <xf numFmtId="0" fontId="25" fillId="0" borderId="0" xfId="67" applyFont="1">
      <alignment/>
      <protection/>
    </xf>
    <xf numFmtId="0" fontId="25" fillId="34" borderId="0" xfId="67" applyFont="1" applyFill="1">
      <alignment/>
      <protection/>
    </xf>
    <xf numFmtId="0" fontId="25" fillId="33" borderId="0" xfId="67" applyFont="1" applyFill="1">
      <alignment/>
      <protection/>
    </xf>
    <xf numFmtId="0" fontId="13" fillId="0" borderId="12" xfId="67" applyFont="1" applyBorder="1">
      <alignment/>
      <protection/>
    </xf>
    <xf numFmtId="0" fontId="13" fillId="0" borderId="13" xfId="67" applyFont="1" applyBorder="1">
      <alignment/>
      <protection/>
    </xf>
    <xf numFmtId="0" fontId="6" fillId="0" borderId="0" xfId="67" applyFont="1" applyFill="1" applyBorder="1" applyAlignment="1">
      <alignment vertical="center"/>
      <protection/>
    </xf>
    <xf numFmtId="2" fontId="6" fillId="0" borderId="0" xfId="67" applyNumberFormat="1" applyFont="1" applyBorder="1" applyAlignment="1">
      <alignment vertical="center"/>
      <protection/>
    </xf>
    <xf numFmtId="0" fontId="16" fillId="0" borderId="10" xfId="67" applyFont="1" applyBorder="1">
      <alignment/>
      <protection/>
    </xf>
    <xf numFmtId="0" fontId="13" fillId="0" borderId="10" xfId="67" applyFont="1" applyBorder="1" applyAlignment="1">
      <alignment horizontal="center"/>
      <protection/>
    </xf>
    <xf numFmtId="0" fontId="29" fillId="0" borderId="0" xfId="57" applyFont="1" applyFill="1" applyBorder="1" applyAlignment="1">
      <alignment vertical="center"/>
      <protection/>
    </xf>
    <xf numFmtId="0" fontId="29" fillId="0" borderId="0" xfId="67" applyFont="1" applyFill="1" applyBorder="1" applyAlignment="1">
      <alignment horizontal="left" vertical="center"/>
      <protection/>
    </xf>
    <xf numFmtId="0" fontId="30" fillId="0" borderId="0" xfId="57" applyFont="1" applyFill="1" applyBorder="1" applyAlignment="1">
      <alignment vertical="center"/>
      <protection/>
    </xf>
    <xf numFmtId="0" fontId="30" fillId="0" borderId="0" xfId="67" applyFont="1" applyFill="1" applyBorder="1" applyAlignment="1">
      <alignment horizontal="left" vertical="center"/>
      <protection/>
    </xf>
    <xf numFmtId="0" fontId="23" fillId="0" borderId="0" xfId="67" applyFont="1" applyFill="1" applyBorder="1" applyAlignment="1">
      <alignment horizontal="left" vertical="center"/>
      <protection/>
    </xf>
    <xf numFmtId="0" fontId="31" fillId="0" borderId="0" xfId="57" applyFont="1" applyFill="1" applyBorder="1" applyAlignment="1">
      <alignment vertical="center"/>
      <protection/>
    </xf>
    <xf numFmtId="0" fontId="10" fillId="0" borderId="0" xfId="67" applyFont="1" applyBorder="1" applyAlignment="1">
      <alignment horizontal="left"/>
      <protection/>
    </xf>
    <xf numFmtId="0" fontId="25" fillId="0" borderId="0" xfId="67" applyFont="1" applyBorder="1" applyAlignment="1">
      <alignment horizontal="center"/>
      <protection/>
    </xf>
    <xf numFmtId="0" fontId="13" fillId="0" borderId="0" xfId="67" applyFont="1" applyAlignment="1">
      <alignment horizontal="center"/>
      <protection/>
    </xf>
    <xf numFmtId="0" fontId="16" fillId="0" borderId="0" xfId="67" applyFont="1">
      <alignment/>
      <protection/>
    </xf>
    <xf numFmtId="0" fontId="16" fillId="0" borderId="0" xfId="67" applyFont="1" applyAlignment="1">
      <alignment horizontal="center"/>
      <protection/>
    </xf>
    <xf numFmtId="0" fontId="13" fillId="34" borderId="0" xfId="67" applyFont="1" applyFill="1" applyAlignment="1">
      <alignment horizontal="center"/>
      <protection/>
    </xf>
    <xf numFmtId="0" fontId="16" fillId="34" borderId="0" xfId="67" applyFont="1" applyFill="1">
      <alignment/>
      <protection/>
    </xf>
    <xf numFmtId="0" fontId="16" fillId="34" borderId="0" xfId="67" applyFont="1" applyFill="1" applyAlignment="1">
      <alignment horizontal="center"/>
      <protection/>
    </xf>
    <xf numFmtId="0" fontId="8" fillId="33" borderId="0" xfId="57" applyFont="1" applyFill="1" applyBorder="1" applyAlignment="1">
      <alignment vertical="center"/>
      <protection/>
    </xf>
    <xf numFmtId="0" fontId="2" fillId="33" borderId="0" xfId="55" applyFill="1" applyAlignment="1">
      <alignment horizontal="center"/>
      <protection/>
    </xf>
    <xf numFmtId="0" fontId="4" fillId="33" borderId="0" xfId="55" applyFont="1" applyFill="1" applyAlignment="1">
      <alignment horizontal="center"/>
      <protection/>
    </xf>
    <xf numFmtId="0" fontId="2" fillId="33" borderId="0" xfId="55" applyFont="1" applyFill="1" applyAlignment="1">
      <alignment horizontal="center"/>
      <protection/>
    </xf>
    <xf numFmtId="0" fontId="2" fillId="33" borderId="0" xfId="55" applyFill="1" applyAlignment="1">
      <alignment horizontal="left"/>
      <protection/>
    </xf>
    <xf numFmtId="0" fontId="2" fillId="0" borderId="0" xfId="55" applyFill="1">
      <alignment/>
      <protection/>
    </xf>
    <xf numFmtId="0" fontId="2" fillId="0" borderId="0" xfId="55" applyFill="1" applyAlignment="1">
      <alignment horizontal="center"/>
      <protection/>
    </xf>
    <xf numFmtId="0" fontId="4" fillId="0" borderId="0" xfId="55" applyFont="1" applyFill="1" applyAlignment="1">
      <alignment horizontal="center"/>
      <protection/>
    </xf>
    <xf numFmtId="0" fontId="2" fillId="0" borderId="0" xfId="55" applyFont="1" applyFill="1" applyAlignment="1">
      <alignment horizontal="center"/>
      <protection/>
    </xf>
    <xf numFmtId="0" fontId="2" fillId="0" borderId="0" xfId="55" applyFill="1" applyAlignment="1">
      <alignment horizontal="left"/>
      <protection/>
    </xf>
    <xf numFmtId="0" fontId="2" fillId="0" borderId="0" xfId="55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left"/>
      <protection/>
    </xf>
    <xf numFmtId="0" fontId="5" fillId="0" borderId="0" xfId="55" applyFont="1" applyAlignment="1">
      <alignment horizontal="center"/>
      <protection/>
    </xf>
    <xf numFmtId="0" fontId="8" fillId="33" borderId="0" xfId="55" applyFont="1" applyFill="1">
      <alignment/>
      <protection/>
    </xf>
    <xf numFmtId="0" fontId="8" fillId="0" borderId="0" xfId="55" applyFont="1" applyFill="1">
      <alignment/>
      <protection/>
    </xf>
    <xf numFmtId="0" fontId="31" fillId="0" borderId="0" xfId="55" applyFont="1" applyFill="1" applyAlignment="1">
      <alignment horizontal="center"/>
      <protection/>
    </xf>
    <xf numFmtId="0" fontId="32" fillId="0" borderId="0" xfId="55" applyFont="1" applyFill="1" applyAlignment="1">
      <alignment/>
      <protection/>
    </xf>
    <xf numFmtId="0" fontId="33" fillId="0" borderId="0" xfId="55" applyFont="1" applyFill="1" applyAlignment="1">
      <alignment horizontal="center"/>
      <protection/>
    </xf>
    <xf numFmtId="0" fontId="34" fillId="0" borderId="0" xfId="43" applyAlignment="1" applyProtection="1">
      <alignment horizontal="left" vertical="center"/>
      <protection/>
    </xf>
    <xf numFmtId="0" fontId="28" fillId="0" borderId="0" xfId="55" applyFont="1" applyBorder="1" applyAlignment="1">
      <alignment horizontal="right"/>
      <protection/>
    </xf>
    <xf numFmtId="14" fontId="10" fillId="0" borderId="10" xfId="55" applyNumberFormat="1" applyFont="1" applyFill="1" applyBorder="1" applyAlignment="1">
      <alignment horizontal="left"/>
      <protection/>
    </xf>
    <xf numFmtId="14" fontId="10" fillId="0" borderId="10" xfId="55" applyNumberFormat="1" applyFont="1" applyBorder="1" applyAlignment="1">
      <alignment/>
      <protection/>
    </xf>
    <xf numFmtId="0" fontId="10" fillId="0" borderId="10" xfId="55" applyFont="1" applyBorder="1" applyAlignment="1">
      <alignment horizontal="center"/>
      <protection/>
    </xf>
    <xf numFmtId="0" fontId="10" fillId="0" borderId="10" xfId="55" applyFont="1" applyBorder="1" applyAlignment="1">
      <alignment/>
      <protection/>
    </xf>
    <xf numFmtId="0" fontId="10" fillId="0" borderId="10" xfId="55" applyFont="1" applyBorder="1" applyAlignment="1">
      <alignment horizontal="right"/>
      <protection/>
    </xf>
    <xf numFmtId="0" fontId="2" fillId="0" borderId="10" xfId="55" applyBorder="1">
      <alignment/>
      <protection/>
    </xf>
    <xf numFmtId="0" fontId="2" fillId="0" borderId="11" xfId="55" applyBorder="1">
      <alignment/>
      <protection/>
    </xf>
    <xf numFmtId="0" fontId="2" fillId="0" borderId="12" xfId="55" applyBorder="1" applyAlignment="1">
      <alignment horizontal="center"/>
      <protection/>
    </xf>
    <xf numFmtId="0" fontId="4" fillId="0" borderId="12" xfId="55" applyFont="1" applyBorder="1" applyAlignment="1">
      <alignment horizontal="center"/>
      <protection/>
    </xf>
    <xf numFmtId="0" fontId="2" fillId="0" borderId="12" xfId="55" applyFont="1" applyBorder="1" applyAlignment="1">
      <alignment horizontal="center"/>
      <protection/>
    </xf>
    <xf numFmtId="0" fontId="2" fillId="0" borderId="0" xfId="55" applyBorder="1" applyAlignment="1">
      <alignment horizontal="left"/>
      <protection/>
    </xf>
    <xf numFmtId="0" fontId="2" fillId="0" borderId="0" xfId="55" applyBorder="1">
      <alignment/>
      <protection/>
    </xf>
    <xf numFmtId="0" fontId="2" fillId="0" borderId="13" xfId="55" applyBorder="1">
      <alignment/>
      <protection/>
    </xf>
    <xf numFmtId="0" fontId="7" fillId="0" borderId="14" xfId="55" applyFont="1" applyBorder="1" applyAlignment="1">
      <alignment horizontal="center" vertical="center" wrapText="1"/>
      <protection/>
    </xf>
    <xf numFmtId="0" fontId="7" fillId="0" borderId="15" xfId="55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center" vertical="center" wrapText="1"/>
      <protection/>
    </xf>
    <xf numFmtId="0" fontId="6" fillId="0" borderId="17" xfId="55" applyFont="1" applyBorder="1" applyAlignment="1">
      <alignment horizontal="center" vertical="center" wrapText="1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2" fillId="0" borderId="14" xfId="55" applyFont="1" applyBorder="1">
      <alignment/>
      <protection/>
    </xf>
    <xf numFmtId="49" fontId="35" fillId="0" borderId="19" xfId="55" applyNumberFormat="1" applyFont="1" applyBorder="1" applyAlignment="1">
      <alignment horizontal="left" vertical="center" indent="2"/>
      <protection/>
    </xf>
    <xf numFmtId="49" fontId="35" fillId="0" borderId="19" xfId="55" applyNumberFormat="1" applyFont="1" applyBorder="1" applyAlignment="1">
      <alignment vertical="center" wrapText="1"/>
      <protection/>
    </xf>
    <xf numFmtId="49" fontId="35" fillId="0" borderId="19" xfId="55" applyNumberFormat="1" applyFont="1" applyBorder="1" applyAlignment="1">
      <alignment horizontal="center" vertical="center" wrapText="1"/>
      <protection/>
    </xf>
    <xf numFmtId="0" fontId="2" fillId="0" borderId="0" xfId="55" applyFont="1">
      <alignment/>
      <protection/>
    </xf>
    <xf numFmtId="0" fontId="36" fillId="0" borderId="14" xfId="55" applyFont="1" applyFill="1" applyBorder="1">
      <alignment/>
      <protection/>
    </xf>
    <xf numFmtId="0" fontId="6" fillId="0" borderId="17" xfId="55" applyNumberFormat="1" applyFont="1" applyFill="1" applyBorder="1" applyAlignment="1">
      <alignment horizontal="center" vertical="center" wrapText="1"/>
      <protection/>
    </xf>
    <xf numFmtId="49" fontId="6" fillId="0" borderId="23" xfId="55" applyNumberFormat="1" applyFont="1" applyFill="1" applyBorder="1" applyAlignment="1">
      <alignment horizontal="center" vertical="center" wrapText="1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2" fillId="0" borderId="25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left" vertical="center" wrapText="1" indent="1"/>
      <protection/>
    </xf>
    <xf numFmtId="0" fontId="2" fillId="0" borderId="23" xfId="55" applyFont="1" applyBorder="1" applyAlignment="1">
      <alignment horizontal="center" vertical="center" wrapText="1"/>
      <protection/>
    </xf>
    <xf numFmtId="0" fontId="2" fillId="0" borderId="21" xfId="55" applyFont="1" applyBorder="1" applyAlignment="1">
      <alignment horizontal="center" vertical="center" wrapText="1"/>
      <protection/>
    </xf>
    <xf numFmtId="2" fontId="2" fillId="0" borderId="18" xfId="62" applyNumberFormat="1" applyFont="1" applyFill="1" applyBorder="1" applyAlignment="1">
      <alignment horizontal="center" vertical="center" wrapText="1"/>
      <protection/>
    </xf>
    <xf numFmtId="2" fontId="2" fillId="36" borderId="18" xfId="55" applyNumberFormat="1" applyFont="1" applyFill="1" applyBorder="1" applyAlignment="1">
      <alignment horizontal="center" vertical="center" wrapText="1"/>
      <protection/>
    </xf>
    <xf numFmtId="0" fontId="36" fillId="0" borderId="0" xfId="55" applyFont="1" applyFill="1">
      <alignment/>
      <protection/>
    </xf>
    <xf numFmtId="0" fontId="36" fillId="0" borderId="14" xfId="55" applyFont="1" applyBorder="1">
      <alignment/>
      <protection/>
    </xf>
    <xf numFmtId="0" fontId="36" fillId="0" borderId="0" xfId="55" applyFont="1">
      <alignment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2" fillId="0" borderId="25" xfId="55" applyFont="1" applyFill="1" applyBorder="1" applyAlignment="1">
      <alignment horizontal="center" vertical="center" wrapText="1"/>
      <protection/>
    </xf>
    <xf numFmtId="0" fontId="6" fillId="0" borderId="25" xfId="55" applyFont="1" applyFill="1" applyBorder="1" applyAlignment="1">
      <alignment horizontal="left" vertical="center" wrapText="1" indent="1"/>
      <protection/>
    </xf>
    <xf numFmtId="175" fontId="2" fillId="0" borderId="17" xfId="55" applyNumberFormat="1" applyFont="1" applyBorder="1" applyAlignment="1">
      <alignment horizontal="center" vertical="center" wrapText="1"/>
      <protection/>
    </xf>
    <xf numFmtId="0" fontId="2" fillId="0" borderId="23" xfId="55" applyFont="1" applyFill="1" applyBorder="1" applyAlignment="1">
      <alignment horizontal="center" vertical="center" wrapText="1"/>
      <protection/>
    </xf>
    <xf numFmtId="0" fontId="13" fillId="0" borderId="36" xfId="55" applyFont="1" applyBorder="1">
      <alignment/>
      <protection/>
    </xf>
    <xf numFmtId="0" fontId="13" fillId="0" borderId="10" xfId="55" applyFont="1" applyBorder="1" applyAlignment="1">
      <alignment horizontal="center"/>
      <protection/>
    </xf>
    <xf numFmtId="0" fontId="16" fillId="0" borderId="10" xfId="55" applyFont="1" applyBorder="1" applyAlignment="1">
      <alignment horizontal="center"/>
      <protection/>
    </xf>
    <xf numFmtId="0" fontId="13" fillId="0" borderId="10" xfId="55" applyFont="1" applyBorder="1" applyAlignment="1">
      <alignment horizontal="left"/>
      <protection/>
    </xf>
    <xf numFmtId="0" fontId="13" fillId="0" borderId="10" xfId="55" applyFont="1" applyBorder="1">
      <alignment/>
      <protection/>
    </xf>
    <xf numFmtId="0" fontId="13" fillId="0" borderId="38" xfId="55" applyFont="1" applyBorder="1">
      <alignment/>
      <protection/>
    </xf>
    <xf numFmtId="0" fontId="6" fillId="0" borderId="0" xfId="55" applyFont="1" applyBorder="1">
      <alignment/>
      <protection/>
    </xf>
    <xf numFmtId="0" fontId="6" fillId="0" borderId="0" xfId="55" applyFont="1" applyBorder="1" applyAlignment="1">
      <alignment horizontal="left" indent="1"/>
      <protection/>
    </xf>
    <xf numFmtId="0" fontId="2" fillId="0" borderId="0" xfId="55" applyFont="1" applyBorder="1" applyAlignment="1">
      <alignment horizontal="center"/>
      <protection/>
    </xf>
    <xf numFmtId="0" fontId="17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 horizontal="left"/>
      <protection/>
    </xf>
    <xf numFmtId="0" fontId="2" fillId="0" borderId="0" xfId="55" applyFont="1" applyBorder="1">
      <alignment/>
      <protection/>
    </xf>
    <xf numFmtId="0" fontId="6" fillId="0" borderId="0" xfId="55" applyFont="1" applyFill="1" applyAlignment="1">
      <alignment/>
      <protection/>
    </xf>
    <xf numFmtId="0" fontId="2" fillId="0" borderId="0" xfId="55" applyFont="1" applyFill="1" applyAlignment="1">
      <alignment/>
      <protection/>
    </xf>
    <xf numFmtId="0" fontId="6" fillId="0" borderId="0" xfId="55" applyFont="1" applyFill="1" applyAlignment="1">
      <alignment horizontal="center" vertical="top" wrapText="1"/>
      <protection/>
    </xf>
    <xf numFmtId="0" fontId="37" fillId="0" borderId="0" xfId="67" applyFont="1" applyBorder="1" applyAlignment="1">
      <alignment/>
      <protection/>
    </xf>
    <xf numFmtId="0" fontId="2" fillId="34" borderId="0" xfId="55" applyFill="1">
      <alignment/>
      <protection/>
    </xf>
    <xf numFmtId="0" fontId="25" fillId="0" borderId="10" xfId="67" applyFont="1" applyBorder="1" applyAlignment="1">
      <alignment/>
      <protection/>
    </xf>
    <xf numFmtId="14" fontId="25" fillId="0" borderId="10" xfId="67" applyNumberFormat="1" applyFont="1" applyBorder="1" applyAlignment="1">
      <alignment/>
      <protection/>
    </xf>
    <xf numFmtId="0" fontId="25" fillId="0" borderId="10" xfId="67" applyFont="1" applyBorder="1" applyAlignment="1">
      <alignment horizontal="center"/>
      <protection/>
    </xf>
    <xf numFmtId="0" fontId="25" fillId="0" borderId="0" xfId="67" applyFont="1" applyBorder="1" applyAlignment="1">
      <alignment horizontal="right"/>
      <protection/>
    </xf>
    <xf numFmtId="0" fontId="10" fillId="0" borderId="11" xfId="67" applyFont="1" applyBorder="1" applyAlignment="1">
      <alignment horizontal="left"/>
      <protection/>
    </xf>
    <xf numFmtId="0" fontId="10" fillId="0" borderId="12" xfId="67" applyFont="1" applyBorder="1" applyAlignment="1">
      <alignment horizontal="left"/>
      <protection/>
    </xf>
    <xf numFmtId="0" fontId="25" fillId="0" borderId="12" xfId="67" applyFont="1" applyBorder="1" applyAlignment="1">
      <alignment horizontal="center"/>
      <protection/>
    </xf>
    <xf numFmtId="0" fontId="25" fillId="0" borderId="12" xfId="67" applyFont="1" applyBorder="1" applyAlignment="1">
      <alignment horizontal="left"/>
      <protection/>
    </xf>
    <xf numFmtId="0" fontId="10" fillId="0" borderId="36" xfId="67" applyFont="1" applyBorder="1" applyAlignment="1">
      <alignment horizontal="left"/>
      <protection/>
    </xf>
    <xf numFmtId="0" fontId="10" fillId="0" borderId="10" xfId="67" applyFont="1" applyBorder="1" applyAlignment="1">
      <alignment horizontal="left"/>
      <protection/>
    </xf>
    <xf numFmtId="0" fontId="25" fillId="0" borderId="10" xfId="67" applyFont="1" applyBorder="1" applyAlignment="1">
      <alignment horizontal="left"/>
      <protection/>
    </xf>
    <xf numFmtId="0" fontId="23" fillId="0" borderId="0" xfId="65" applyFont="1" applyFill="1" applyBorder="1" applyAlignment="1">
      <alignment vertical="center"/>
      <protection/>
    </xf>
    <xf numFmtId="0" fontId="25" fillId="0" borderId="0" xfId="55" applyFont="1" applyBorder="1" applyAlignment="1">
      <alignment horizontal="left"/>
      <protection/>
    </xf>
    <xf numFmtId="0" fontId="25" fillId="0" borderId="0" xfId="55" applyFont="1" applyBorder="1" applyAlignment="1">
      <alignment horizontal="center"/>
      <protection/>
    </xf>
    <xf numFmtId="0" fontId="38" fillId="0" borderId="0" xfId="65" applyFont="1" applyFill="1" applyBorder="1" applyAlignment="1">
      <alignment vertical="center"/>
      <protection/>
    </xf>
    <xf numFmtId="0" fontId="23" fillId="0" borderId="0" xfId="55" applyFont="1" applyFill="1" applyBorder="1" applyAlignment="1">
      <alignment horizontal="left" vertic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38" fillId="0" borderId="0" xfId="55" applyFont="1" applyFill="1" applyBorder="1" applyAlignment="1">
      <alignment horizontal="left" vertical="center"/>
      <protection/>
    </xf>
    <xf numFmtId="0" fontId="38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4" fillId="0" borderId="0" xfId="65" applyFont="1" applyFill="1" applyBorder="1" applyAlignment="1">
      <alignment vertical="center"/>
      <protection/>
    </xf>
    <xf numFmtId="0" fontId="13" fillId="0" borderId="0" xfId="55" applyFont="1" applyAlignment="1">
      <alignment horizontal="center"/>
      <protection/>
    </xf>
    <xf numFmtId="0" fontId="16" fillId="0" borderId="0" xfId="55" applyFont="1" applyAlignment="1">
      <alignment horizontal="center"/>
      <protection/>
    </xf>
    <xf numFmtId="0" fontId="13" fillId="0" borderId="0" xfId="55" applyFont="1" applyAlignment="1">
      <alignment horizontal="left"/>
      <protection/>
    </xf>
    <xf numFmtId="0" fontId="12" fillId="33" borderId="0" xfId="55" applyFont="1" applyFill="1">
      <alignment/>
      <protection/>
    </xf>
    <xf numFmtId="0" fontId="13" fillId="34" borderId="0" xfId="55" applyFont="1" applyFill="1">
      <alignment/>
      <protection/>
    </xf>
    <xf numFmtId="0" fontId="13" fillId="34" borderId="0" xfId="55" applyFont="1" applyFill="1" applyAlignment="1">
      <alignment horizontal="center"/>
      <protection/>
    </xf>
    <xf numFmtId="0" fontId="16" fillId="34" borderId="0" xfId="55" applyFont="1" applyFill="1" applyAlignment="1">
      <alignment horizontal="center"/>
      <protection/>
    </xf>
    <xf numFmtId="0" fontId="13" fillId="34" borderId="0" xfId="55" applyFont="1" applyFill="1" applyAlignment="1">
      <alignment horizontal="left"/>
      <protection/>
    </xf>
    <xf numFmtId="49" fontId="2" fillId="33" borderId="0" xfId="67" applyNumberFormat="1" applyFill="1" applyAlignment="1">
      <alignment horizontal="center"/>
      <protection/>
    </xf>
    <xf numFmtId="49" fontId="2" fillId="0" borderId="0" xfId="67" applyNumberFormat="1" applyFill="1" applyAlignment="1">
      <alignment horizontal="center"/>
      <protection/>
    </xf>
    <xf numFmtId="49" fontId="2" fillId="0" borderId="0" xfId="67" applyNumberFormat="1" applyAlignment="1">
      <alignment horizontal="center"/>
      <protection/>
    </xf>
    <xf numFmtId="0" fontId="6" fillId="0" borderId="0" xfId="67" applyFont="1" applyBorder="1" applyAlignment="1">
      <alignment horizontal="center"/>
      <protection/>
    </xf>
    <xf numFmtId="0" fontId="39" fillId="0" borderId="0" xfId="42" applyFont="1" applyBorder="1" applyAlignment="1" applyProtection="1">
      <alignment horizontal="left"/>
      <protection/>
    </xf>
    <xf numFmtId="14" fontId="6" fillId="0" borderId="10" xfId="67" applyNumberFormat="1" applyFont="1" applyBorder="1" applyAlignment="1">
      <alignment/>
      <protection/>
    </xf>
    <xf numFmtId="14" fontId="25" fillId="0" borderId="10" xfId="67" applyNumberFormat="1" applyFont="1" applyBorder="1" applyAlignment="1">
      <alignment horizontal="center"/>
      <protection/>
    </xf>
    <xf numFmtId="49" fontId="2" fillId="0" borderId="12" xfId="67" applyNumberFormat="1" applyBorder="1" applyAlignment="1">
      <alignment horizontal="center"/>
      <protection/>
    </xf>
    <xf numFmtId="0" fontId="7" fillId="0" borderId="0" xfId="67" applyFont="1" applyAlignment="1">
      <alignment horizontal="center" vertical="center" wrapText="1"/>
      <protection/>
    </xf>
    <xf numFmtId="0" fontId="7" fillId="0" borderId="14" xfId="67" applyFont="1" applyBorder="1" applyAlignment="1">
      <alignment horizontal="center" vertical="center" wrapText="1"/>
      <protection/>
    </xf>
    <xf numFmtId="0" fontId="7" fillId="0" borderId="15" xfId="67" applyFont="1" applyBorder="1" applyAlignment="1">
      <alignment horizontal="center" vertical="center" wrapText="1"/>
      <protection/>
    </xf>
    <xf numFmtId="0" fontId="7" fillId="34" borderId="0" xfId="67" applyFont="1" applyFill="1" applyAlignment="1">
      <alignment horizontal="center" vertical="center" wrapText="1"/>
      <protection/>
    </xf>
    <xf numFmtId="0" fontId="7" fillId="33" borderId="0" xfId="67" applyFont="1" applyFill="1" applyAlignment="1">
      <alignment horizontal="center" vertical="center" wrapText="1"/>
      <protection/>
    </xf>
    <xf numFmtId="0" fontId="40" fillId="33" borderId="0" xfId="67" applyFont="1" applyFill="1">
      <alignment/>
      <protection/>
    </xf>
    <xf numFmtId="0" fontId="41" fillId="0" borderId="0" xfId="67" applyFont="1">
      <alignment/>
      <protection/>
    </xf>
    <xf numFmtId="0" fontId="41" fillId="0" borderId="14" xfId="67" applyFont="1" applyBorder="1">
      <alignment/>
      <protection/>
    </xf>
    <xf numFmtId="49" fontId="42" fillId="0" borderId="19" xfId="67" applyNumberFormat="1" applyFont="1" applyBorder="1" applyAlignment="1">
      <alignment horizontal="left" vertical="center" indent="2"/>
      <protection/>
    </xf>
    <xf numFmtId="49" fontId="42" fillId="0" borderId="19" xfId="67" applyNumberFormat="1" applyFont="1" applyBorder="1" applyAlignment="1">
      <alignment vertical="center" wrapText="1"/>
      <protection/>
    </xf>
    <xf numFmtId="2" fontId="41" fillId="0" borderId="19" xfId="67" applyNumberFormat="1" applyFont="1" applyFill="1" applyBorder="1" applyAlignment="1">
      <alignment horizontal="center" vertical="center" wrapText="1"/>
      <protection/>
    </xf>
    <xf numFmtId="2" fontId="41" fillId="0" borderId="19" xfId="67" applyNumberFormat="1" applyFont="1" applyBorder="1" applyAlignment="1">
      <alignment horizontal="center" vertical="center" wrapText="1"/>
      <protection/>
    </xf>
    <xf numFmtId="0" fontId="41" fillId="0" borderId="15" xfId="67" applyFont="1" applyBorder="1">
      <alignment/>
      <protection/>
    </xf>
    <xf numFmtId="0" fontId="41" fillId="34" borderId="0" xfId="67" applyFont="1" applyFill="1">
      <alignment/>
      <protection/>
    </xf>
    <xf numFmtId="0" fontId="41" fillId="33" borderId="0" xfId="67" applyFont="1" applyFill="1">
      <alignment/>
      <protection/>
    </xf>
    <xf numFmtId="0" fontId="2" fillId="0" borderId="14" xfId="67" applyFont="1" applyBorder="1">
      <alignment/>
      <protection/>
    </xf>
    <xf numFmtId="49" fontId="6" fillId="0" borderId="17" xfId="67" applyNumberFormat="1" applyFont="1" applyBorder="1" applyAlignment="1">
      <alignment horizontal="center" vertical="top" wrapText="1"/>
      <protection/>
    </xf>
    <xf numFmtId="0" fontId="6" fillId="0" borderId="27" xfId="67" applyFont="1" applyBorder="1" applyAlignment="1">
      <alignment horizontal="left" vertical="center" wrapText="1" indent="1"/>
      <protection/>
    </xf>
    <xf numFmtId="0" fontId="6" fillId="0" borderId="26" xfId="67" applyFont="1" applyBorder="1" applyAlignment="1">
      <alignment horizontal="center" vertical="center" wrapText="1"/>
      <protection/>
    </xf>
    <xf numFmtId="2" fontId="2" fillId="0" borderId="17" xfId="67" applyNumberFormat="1" applyFont="1" applyFill="1" applyBorder="1" applyAlignment="1">
      <alignment horizontal="center" vertical="center" wrapText="1"/>
      <protection/>
    </xf>
    <xf numFmtId="0" fontId="2" fillId="0" borderId="23" xfId="67" applyFont="1" applyFill="1" applyBorder="1" applyAlignment="1">
      <alignment horizontal="center" vertical="center" wrapText="1"/>
      <protection/>
    </xf>
    <xf numFmtId="0" fontId="2" fillId="0" borderId="21" xfId="67" applyFont="1" applyBorder="1" applyAlignment="1">
      <alignment horizontal="center" vertical="center" wrapText="1"/>
      <protection/>
    </xf>
    <xf numFmtId="2" fontId="2" fillId="0" borderId="18" xfId="67" applyNumberFormat="1" applyFont="1" applyBorder="1" applyAlignment="1">
      <alignment horizontal="center" vertical="center" wrapText="1"/>
      <protection/>
    </xf>
    <xf numFmtId="0" fontId="2" fillId="0" borderId="15" xfId="67" applyFont="1" applyBorder="1">
      <alignment/>
      <protection/>
    </xf>
    <xf numFmtId="0" fontId="2" fillId="34" borderId="0" xfId="67" applyFont="1" applyFill="1">
      <alignment/>
      <protection/>
    </xf>
    <xf numFmtId="0" fontId="2" fillId="33" borderId="0" xfId="67" applyFont="1" applyFill="1">
      <alignment/>
      <protection/>
    </xf>
    <xf numFmtId="0" fontId="2" fillId="0" borderId="17" xfId="67" applyNumberFormat="1" applyFont="1" applyFill="1" applyBorder="1" applyAlignment="1">
      <alignment horizontal="center" vertical="center" wrapText="1"/>
      <protection/>
    </xf>
    <xf numFmtId="0" fontId="2" fillId="0" borderId="25" xfId="67" applyNumberFormat="1" applyFont="1" applyFill="1" applyBorder="1" applyAlignment="1">
      <alignment horizontal="center" vertical="center" wrapText="1"/>
      <protection/>
    </xf>
    <xf numFmtId="0" fontId="2" fillId="0" borderId="19" xfId="67" applyNumberFormat="1" applyFont="1" applyFill="1" applyBorder="1" applyAlignment="1">
      <alignment horizontal="center" vertical="center" wrapText="1"/>
      <protection/>
    </xf>
    <xf numFmtId="2" fontId="2" fillId="0" borderId="19" xfId="67" applyNumberFormat="1" applyFont="1" applyBorder="1" applyAlignment="1">
      <alignment horizontal="center" vertical="center" wrapText="1"/>
      <protection/>
    </xf>
    <xf numFmtId="0" fontId="6" fillId="0" borderId="27" xfId="67" applyFont="1" applyFill="1" applyBorder="1" applyAlignment="1">
      <alignment horizontal="left" vertical="center" wrapText="1" indent="1"/>
      <protection/>
    </xf>
    <xf numFmtId="0" fontId="6" fillId="0" borderId="17" xfId="67" applyNumberFormat="1" applyFont="1" applyBorder="1" applyAlignment="1">
      <alignment horizontal="center" vertical="top" wrapText="1"/>
      <protection/>
    </xf>
    <xf numFmtId="49" fontId="6" fillId="0" borderId="17" xfId="67" applyNumberFormat="1" applyFont="1" applyFill="1" applyBorder="1" applyAlignment="1">
      <alignment horizontal="center" vertical="top" wrapText="1"/>
      <protection/>
    </xf>
    <xf numFmtId="0" fontId="6" fillId="0" borderId="17" xfId="67" applyNumberFormat="1" applyFont="1" applyFill="1" applyBorder="1" applyAlignment="1">
      <alignment horizontal="center" vertical="top" wrapText="1"/>
      <protection/>
    </xf>
    <xf numFmtId="0" fontId="2" fillId="0" borderId="25" xfId="67" applyFont="1" applyBorder="1" applyAlignment="1">
      <alignment horizontal="center" vertical="center" wrapText="1"/>
      <protection/>
    </xf>
    <xf numFmtId="0" fontId="2" fillId="0" borderId="42" xfId="67" applyFont="1" applyBorder="1" applyAlignment="1">
      <alignment horizontal="center" vertical="center" wrapText="1"/>
      <protection/>
    </xf>
    <xf numFmtId="0" fontId="6" fillId="0" borderId="21" xfId="67" applyFont="1" applyFill="1" applyBorder="1" applyAlignment="1">
      <alignment horizontal="left" vertical="center" wrapText="1" indent="1"/>
      <protection/>
    </xf>
    <xf numFmtId="49" fontId="6" fillId="0" borderId="17" xfId="67" applyNumberFormat="1" applyFont="1" applyFill="1" applyBorder="1" applyAlignment="1">
      <alignment horizontal="center" vertical="center" wrapText="1"/>
      <protection/>
    </xf>
    <xf numFmtId="0" fontId="6" fillId="0" borderId="26" xfId="67" applyFont="1" applyFill="1" applyBorder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/>
      <protection/>
    </xf>
    <xf numFmtId="0" fontId="43" fillId="33" borderId="0" xfId="67" applyFont="1" applyFill="1">
      <alignment/>
      <protection/>
    </xf>
    <xf numFmtId="0" fontId="18" fillId="0" borderId="0" xfId="67" applyFont="1">
      <alignment/>
      <protection/>
    </xf>
    <xf numFmtId="0" fontId="18" fillId="34" borderId="0" xfId="67" applyFont="1" applyFill="1">
      <alignment/>
      <protection/>
    </xf>
    <xf numFmtId="0" fontId="18" fillId="33" borderId="0" xfId="67" applyFont="1" applyFill="1">
      <alignment/>
      <protection/>
    </xf>
    <xf numFmtId="0" fontId="43" fillId="33" borderId="0" xfId="55" applyFont="1" applyFill="1">
      <alignment/>
      <protection/>
    </xf>
    <xf numFmtId="0" fontId="18" fillId="0" borderId="0" xfId="55" applyFont="1" applyFill="1">
      <alignment/>
      <protection/>
    </xf>
    <xf numFmtId="0" fontId="10" fillId="0" borderId="0" xfId="55" applyFont="1" applyFill="1" applyAlignment="1">
      <alignment/>
      <protection/>
    </xf>
    <xf numFmtId="0" fontId="18" fillId="0" borderId="0" xfId="55" applyFont="1" applyFill="1" applyAlignment="1">
      <alignment/>
      <protection/>
    </xf>
    <xf numFmtId="0" fontId="18" fillId="0" borderId="0" xfId="55" applyFont="1" applyFill="1" applyBorder="1" applyAlignment="1">
      <alignment/>
      <protection/>
    </xf>
    <xf numFmtId="0" fontId="18" fillId="33" borderId="0" xfId="55" applyFont="1" applyFill="1">
      <alignment/>
      <protection/>
    </xf>
    <xf numFmtId="49" fontId="18" fillId="0" borderId="0" xfId="67" applyNumberFormat="1" applyFont="1" applyBorder="1" applyAlignment="1">
      <alignment horizontal="center"/>
      <protection/>
    </xf>
    <xf numFmtId="0" fontId="18" fillId="0" borderId="0" xfId="67" applyFont="1" applyBorder="1" applyAlignment="1">
      <alignment horizontal="center"/>
      <protection/>
    </xf>
    <xf numFmtId="0" fontId="20" fillId="34" borderId="0" xfId="67" applyFont="1" applyFill="1">
      <alignment/>
      <protection/>
    </xf>
    <xf numFmtId="0" fontId="23" fillId="0" borderId="0" xfId="54" applyFont="1" applyFill="1" applyBorder="1" applyAlignment="1">
      <alignment vertical="center"/>
      <protection/>
    </xf>
    <xf numFmtId="0" fontId="38" fillId="0" borderId="0" xfId="54" applyFont="1" applyFill="1" applyBorder="1" applyAlignment="1">
      <alignment vertical="center"/>
      <protection/>
    </xf>
    <xf numFmtId="0" fontId="38" fillId="0" borderId="0" xfId="67" applyFont="1" applyFill="1" applyBorder="1" applyAlignment="1">
      <alignment horizontal="left" vertical="center"/>
      <protection/>
    </xf>
    <xf numFmtId="0" fontId="23" fillId="0" borderId="0" xfId="67" applyFont="1" applyFill="1" applyBorder="1" applyAlignment="1">
      <alignment horizontal="left" vertical="center"/>
      <protection/>
    </xf>
    <xf numFmtId="49" fontId="25" fillId="0" borderId="0" xfId="67" applyNumberFormat="1" applyFont="1" applyBorder="1" applyAlignment="1">
      <alignment horizontal="center"/>
      <protection/>
    </xf>
    <xf numFmtId="49" fontId="13" fillId="0" borderId="0" xfId="67" applyNumberFormat="1" applyFont="1" applyAlignment="1">
      <alignment horizontal="center"/>
      <protection/>
    </xf>
    <xf numFmtId="49" fontId="13" fillId="34" borderId="0" xfId="67" applyNumberFormat="1" applyFont="1" applyFill="1" applyAlignment="1">
      <alignment horizontal="center"/>
      <protection/>
    </xf>
    <xf numFmtId="49" fontId="2" fillId="0" borderId="0" xfId="67" applyNumberFormat="1">
      <alignment/>
      <protection/>
    </xf>
    <xf numFmtId="0" fontId="5" fillId="0" borderId="0" xfId="67" applyFont="1">
      <alignment/>
      <protection/>
    </xf>
    <xf numFmtId="0" fontId="2" fillId="0" borderId="12" xfId="67" applyFill="1" applyBorder="1">
      <alignment/>
      <protection/>
    </xf>
    <xf numFmtId="0" fontId="6" fillId="0" borderId="17" xfId="67" applyFont="1" applyFill="1" applyBorder="1" applyAlignment="1">
      <alignment horizontal="center" vertical="center" wrapText="1"/>
      <protection/>
    </xf>
    <xf numFmtId="0" fontId="2" fillId="0" borderId="14" xfId="67" applyFont="1" applyFill="1" applyBorder="1">
      <alignment/>
      <protection/>
    </xf>
    <xf numFmtId="49" fontId="42" fillId="0" borderId="19" xfId="67" applyNumberFormat="1" applyFont="1" applyFill="1" applyBorder="1" applyAlignment="1">
      <alignment horizontal="left" vertical="center" wrapText="1" indent="2"/>
      <protection/>
    </xf>
    <xf numFmtId="49" fontId="35" fillId="0" borderId="19" xfId="67" applyNumberFormat="1" applyFont="1" applyFill="1" applyBorder="1" applyAlignment="1">
      <alignment vertical="center" wrapText="1"/>
      <protection/>
    </xf>
    <xf numFmtId="0" fontId="2" fillId="0" borderId="15" xfId="67" applyFont="1" applyFill="1" applyBorder="1">
      <alignment/>
      <protection/>
    </xf>
    <xf numFmtId="0" fontId="33" fillId="0" borderId="28" xfId="60" applyFont="1" applyFill="1" applyBorder="1" applyAlignment="1">
      <alignment horizontal="left" vertical="center" wrapText="1" indent="1"/>
      <protection/>
    </xf>
    <xf numFmtId="0" fontId="6" fillId="0" borderId="25" xfId="67" applyFont="1" applyFill="1" applyBorder="1" applyAlignment="1">
      <alignment horizontal="center" vertical="center" wrapText="1"/>
      <protection/>
    </xf>
    <xf numFmtId="2" fontId="2" fillId="0" borderId="43" xfId="67" applyNumberFormat="1" applyFont="1" applyFill="1" applyBorder="1" applyAlignment="1">
      <alignment horizontal="center" vertical="center" wrapText="1"/>
      <protection/>
    </xf>
    <xf numFmtId="0" fontId="45" fillId="33" borderId="0" xfId="67" applyFont="1" applyFill="1" applyAlignment="1">
      <alignment horizontal="center" vertical="center" wrapText="1"/>
      <protection/>
    </xf>
    <xf numFmtId="0" fontId="41" fillId="0" borderId="0" xfId="67" applyFont="1" applyFill="1">
      <alignment/>
      <protection/>
    </xf>
    <xf numFmtId="0" fontId="41" fillId="0" borderId="14" xfId="67" applyFont="1" applyFill="1" applyBorder="1">
      <alignment/>
      <protection/>
    </xf>
    <xf numFmtId="49" fontId="42" fillId="0" borderId="19" xfId="67" applyNumberFormat="1" applyFont="1" applyFill="1" applyBorder="1" applyAlignment="1">
      <alignment vertical="center" wrapText="1"/>
      <protection/>
    </xf>
    <xf numFmtId="2" fontId="42" fillId="0" borderId="17" xfId="67" applyNumberFormat="1" applyFont="1" applyFill="1" applyBorder="1" applyAlignment="1">
      <alignment vertical="center" wrapText="1"/>
      <protection/>
    </xf>
    <xf numFmtId="1" fontId="42" fillId="0" borderId="23" xfId="67" applyNumberFormat="1" applyFont="1" applyFill="1" applyBorder="1" applyAlignment="1">
      <alignment vertical="center" wrapText="1"/>
      <protection/>
    </xf>
    <xf numFmtId="1" fontId="42" fillId="0" borderId="18" xfId="67" applyNumberFormat="1" applyFont="1" applyFill="1" applyBorder="1" applyAlignment="1">
      <alignment vertical="center" wrapText="1"/>
      <protection/>
    </xf>
    <xf numFmtId="0" fontId="41" fillId="0" borderId="15" xfId="67" applyFont="1" applyFill="1" applyBorder="1">
      <alignment/>
      <protection/>
    </xf>
    <xf numFmtId="0" fontId="46" fillId="34" borderId="0" xfId="67" applyFont="1" applyFill="1" applyAlignment="1">
      <alignment horizontal="center" vertical="center" wrapText="1"/>
      <protection/>
    </xf>
    <xf numFmtId="0" fontId="46" fillId="33" borderId="0" xfId="67" applyFont="1" applyFill="1" applyAlignment="1">
      <alignment horizontal="center" vertical="center" wrapText="1"/>
      <protection/>
    </xf>
    <xf numFmtId="0" fontId="7" fillId="0" borderId="0" xfId="67" applyFont="1" applyFill="1" applyAlignment="1">
      <alignment horizontal="center" vertical="center" wrapText="1"/>
      <protection/>
    </xf>
    <xf numFmtId="0" fontId="7" fillId="0" borderId="14" xfId="67" applyFont="1" applyFill="1" applyBorder="1" applyAlignment="1">
      <alignment horizontal="center" vertical="center" wrapText="1"/>
      <protection/>
    </xf>
    <xf numFmtId="0" fontId="7" fillId="0" borderId="15" xfId="67" applyFont="1" applyFill="1" applyBorder="1" applyAlignment="1">
      <alignment horizontal="center" vertical="center" wrapText="1"/>
      <protection/>
    </xf>
    <xf numFmtId="0" fontId="2" fillId="0" borderId="21" xfId="67" applyFont="1" applyFill="1" applyBorder="1" applyAlignment="1">
      <alignment horizontal="center" vertical="center" wrapText="1"/>
      <protection/>
    </xf>
    <xf numFmtId="0" fontId="13" fillId="0" borderId="10" xfId="67" applyFont="1" applyFill="1" applyBorder="1" applyAlignment="1">
      <alignment horizontal="center"/>
      <protection/>
    </xf>
    <xf numFmtId="0" fontId="13" fillId="0" borderId="37" xfId="67" applyFont="1" applyFill="1" applyBorder="1">
      <alignment/>
      <protection/>
    </xf>
    <xf numFmtId="0" fontId="13" fillId="0" borderId="0" xfId="67" applyFont="1" applyFill="1" applyBorder="1">
      <alignment/>
      <protection/>
    </xf>
    <xf numFmtId="0" fontId="13" fillId="37" borderId="0" xfId="67" applyFont="1" applyFill="1">
      <alignment/>
      <protection/>
    </xf>
    <xf numFmtId="0" fontId="13" fillId="38" borderId="0" xfId="67" applyFont="1" applyFill="1">
      <alignment/>
      <protection/>
    </xf>
    <xf numFmtId="0" fontId="2" fillId="0" borderId="0" xfId="67" applyBorder="1">
      <alignment/>
      <protection/>
    </xf>
    <xf numFmtId="0" fontId="21" fillId="0" borderId="0" xfId="60" applyFont="1" applyFill="1" applyBorder="1" applyAlignment="1">
      <alignment vertical="center"/>
      <protection/>
    </xf>
    <xf numFmtId="2" fontId="25" fillId="0" borderId="0" xfId="67" applyNumberFormat="1" applyFont="1" applyBorder="1" applyAlignment="1">
      <alignment horizontal="left"/>
      <protection/>
    </xf>
    <xf numFmtId="0" fontId="25" fillId="0" borderId="0" xfId="67" applyFont="1" applyFill="1" applyBorder="1" applyAlignment="1">
      <alignment horizontal="left"/>
      <protection/>
    </xf>
    <xf numFmtId="0" fontId="22" fillId="0" borderId="0" xfId="60" applyFont="1" applyFill="1" applyBorder="1" applyAlignment="1">
      <alignment vertical="center"/>
      <protection/>
    </xf>
    <xf numFmtId="0" fontId="47" fillId="0" borderId="0" xfId="67" applyFont="1" applyFill="1" applyBorder="1" applyAlignment="1">
      <alignment horizontal="left" vertical="center" indent="1"/>
      <protection/>
    </xf>
    <xf numFmtId="0" fontId="38" fillId="0" borderId="0" xfId="67" applyFont="1" applyFill="1" applyBorder="1" applyAlignment="1">
      <alignment horizontal="center" vertical="center"/>
      <protection/>
    </xf>
    <xf numFmtId="0" fontId="38" fillId="0" borderId="0" xfId="67" applyFont="1" applyFill="1" applyBorder="1" applyAlignment="1">
      <alignment horizontal="left" vertical="center"/>
      <protection/>
    </xf>
    <xf numFmtId="2" fontId="38" fillId="0" borderId="0" xfId="67" applyNumberFormat="1" applyFont="1" applyFill="1" applyBorder="1" applyAlignment="1">
      <alignment horizontal="left" vertical="center"/>
      <protection/>
    </xf>
    <xf numFmtId="0" fontId="47" fillId="0" borderId="0" xfId="67" applyFont="1" applyFill="1" applyBorder="1" applyAlignment="1">
      <alignment horizontal="left" vertical="center" indent="1"/>
      <protection/>
    </xf>
    <xf numFmtId="0" fontId="38" fillId="0" borderId="0" xfId="67" applyFont="1" applyFill="1" applyBorder="1" applyAlignment="1">
      <alignment horizontal="center" vertical="center"/>
      <protection/>
    </xf>
    <xf numFmtId="2" fontId="38" fillId="0" borderId="0" xfId="67" applyNumberFormat="1" applyFont="1" applyFill="1" applyBorder="1" applyAlignment="1">
      <alignment horizontal="left" vertical="center"/>
      <protection/>
    </xf>
    <xf numFmtId="0" fontId="24" fillId="0" borderId="0" xfId="60" applyFont="1" applyFill="1" applyBorder="1" applyAlignment="1">
      <alignment vertical="center"/>
      <protection/>
    </xf>
    <xf numFmtId="0" fontId="48" fillId="0" borderId="0" xfId="67" applyFont="1" applyFill="1" applyBorder="1" applyAlignment="1">
      <alignment horizontal="left" vertical="center" indent="1"/>
      <protection/>
    </xf>
    <xf numFmtId="0" fontId="23" fillId="0" borderId="0" xfId="67" applyFont="1" applyFill="1" applyBorder="1" applyAlignment="1">
      <alignment horizontal="center" vertical="center"/>
      <protection/>
    </xf>
    <xf numFmtId="0" fontId="13" fillId="0" borderId="0" xfId="67" applyFont="1" applyFill="1">
      <alignment/>
      <protection/>
    </xf>
    <xf numFmtId="0" fontId="3" fillId="38" borderId="0" xfId="67" applyFont="1" applyFill="1">
      <alignment/>
      <protection/>
    </xf>
    <xf numFmtId="0" fontId="2" fillId="38" borderId="0" xfId="67" applyFill="1">
      <alignment/>
      <protection/>
    </xf>
    <xf numFmtId="0" fontId="2" fillId="38" borderId="0" xfId="67" applyFill="1" applyAlignment="1">
      <alignment horizontal="left"/>
      <protection/>
    </xf>
    <xf numFmtId="0" fontId="2" fillId="39" borderId="0" xfId="67" applyFill="1">
      <alignment/>
      <protection/>
    </xf>
    <xf numFmtId="0" fontId="2" fillId="39" borderId="0" xfId="67" applyFont="1" applyFill="1" applyAlignment="1">
      <alignment horizontal="left" vertical="center" indent="1"/>
      <protection/>
    </xf>
    <xf numFmtId="0" fontId="2" fillId="39" borderId="0" xfId="67" applyFont="1" applyFill="1" applyAlignment="1">
      <alignment horizontal="center"/>
      <protection/>
    </xf>
    <xf numFmtId="0" fontId="2" fillId="39" borderId="0" xfId="67" applyFill="1" applyAlignment="1">
      <alignment horizontal="left"/>
      <protection/>
    </xf>
    <xf numFmtId="0" fontId="2" fillId="37" borderId="0" xfId="67" applyFill="1">
      <alignment/>
      <protection/>
    </xf>
    <xf numFmtId="0" fontId="6" fillId="39" borderId="0" xfId="67" applyFont="1" applyFill="1" applyBorder="1" applyAlignment="1">
      <alignment horizontal="center" vertical="center"/>
      <protection/>
    </xf>
    <xf numFmtId="0" fontId="94" fillId="39" borderId="0" xfId="42" applyFont="1" applyFill="1" applyBorder="1" applyAlignment="1" applyProtection="1">
      <alignment horizontal="left" vertical="top"/>
      <protection/>
    </xf>
    <xf numFmtId="0" fontId="81" fillId="39" borderId="0" xfId="42" applyFill="1" applyBorder="1" applyAlignment="1" applyProtection="1">
      <alignment horizontal="left" vertical="top"/>
      <protection/>
    </xf>
    <xf numFmtId="14" fontId="6" fillId="39" borderId="10" xfId="67" applyNumberFormat="1" applyFont="1" applyFill="1" applyBorder="1" applyAlignment="1">
      <alignment horizontal="left"/>
      <protection/>
    </xf>
    <xf numFmtId="0" fontId="2" fillId="39" borderId="11" xfId="67" applyFill="1" applyBorder="1">
      <alignment/>
      <protection/>
    </xf>
    <xf numFmtId="0" fontId="2" fillId="39" borderId="12" xfId="67" applyFont="1" applyFill="1" applyBorder="1" applyAlignment="1">
      <alignment horizontal="left" vertical="center" indent="1"/>
      <protection/>
    </xf>
    <xf numFmtId="0" fontId="2" fillId="39" borderId="12" xfId="67" applyFont="1" applyFill="1" applyBorder="1" applyAlignment="1">
      <alignment horizontal="center"/>
      <protection/>
    </xf>
    <xf numFmtId="0" fontId="2" fillId="39" borderId="12" xfId="67" applyFill="1" applyBorder="1" applyAlignment="1">
      <alignment horizontal="left"/>
      <protection/>
    </xf>
    <xf numFmtId="0" fontId="2" fillId="39" borderId="12" xfId="67" applyFill="1" applyBorder="1">
      <alignment/>
      <protection/>
    </xf>
    <xf numFmtId="0" fontId="2" fillId="39" borderId="13" xfId="67" applyFill="1" applyBorder="1">
      <alignment/>
      <protection/>
    </xf>
    <xf numFmtId="0" fontId="11" fillId="38" borderId="0" xfId="67" applyFont="1" applyFill="1" applyAlignment="1">
      <alignment horizontal="center" vertical="center" wrapText="1"/>
      <protection/>
    </xf>
    <xf numFmtId="0" fontId="7" fillId="39" borderId="0" xfId="67" applyFont="1" applyFill="1" applyAlignment="1">
      <alignment horizontal="center" vertical="center" wrapText="1"/>
      <protection/>
    </xf>
    <xf numFmtId="0" fontId="7" fillId="39" borderId="14" xfId="67" applyFont="1" applyFill="1" applyBorder="1" applyAlignment="1">
      <alignment horizontal="center" vertical="center" wrapText="1"/>
      <protection/>
    </xf>
    <xf numFmtId="0" fontId="7" fillId="39" borderId="15" xfId="67" applyFont="1" applyFill="1" applyBorder="1" applyAlignment="1">
      <alignment horizontal="center" vertical="center" wrapText="1"/>
      <protection/>
    </xf>
    <xf numFmtId="0" fontId="7" fillId="37" borderId="0" xfId="67" applyFont="1" applyFill="1" applyAlignment="1">
      <alignment horizontal="center" vertical="center" wrapText="1"/>
      <protection/>
    </xf>
    <xf numFmtId="0" fontId="7" fillId="38" borderId="0" xfId="67" applyFont="1" applyFill="1" applyAlignment="1">
      <alignment horizontal="center" vertical="center" wrapText="1"/>
      <protection/>
    </xf>
    <xf numFmtId="0" fontId="6" fillId="39" borderId="17" xfId="67" applyFont="1" applyFill="1" applyBorder="1" applyAlignment="1">
      <alignment horizontal="center" vertical="center" wrapText="1"/>
      <protection/>
    </xf>
    <xf numFmtId="0" fontId="6" fillId="39" borderId="18" xfId="67" applyFont="1" applyFill="1" applyBorder="1" applyAlignment="1">
      <alignment horizontal="center" vertical="center" wrapText="1"/>
      <protection/>
    </xf>
    <xf numFmtId="49" fontId="6" fillId="39" borderId="24" xfId="67" applyNumberFormat="1" applyFont="1" applyFill="1" applyBorder="1" applyAlignment="1">
      <alignment vertical="center" wrapText="1"/>
      <protection/>
    </xf>
    <xf numFmtId="0" fontId="2" fillId="39" borderId="25" xfId="67" applyFont="1" applyFill="1" applyBorder="1" applyAlignment="1">
      <alignment horizontal="center" vertical="center" wrapText="1"/>
      <protection/>
    </xf>
    <xf numFmtId="0" fontId="2" fillId="39" borderId="21" xfId="67" applyFont="1" applyFill="1" applyBorder="1" applyAlignment="1">
      <alignment horizontal="left" vertical="center" wrapText="1" indent="1"/>
      <protection/>
    </xf>
    <xf numFmtId="2" fontId="2" fillId="39" borderId="17" xfId="67" applyNumberFormat="1" applyFont="1" applyFill="1" applyBorder="1" applyAlignment="1">
      <alignment horizontal="center" vertical="center" wrapText="1"/>
      <protection/>
    </xf>
    <xf numFmtId="0" fontId="2" fillId="39" borderId="23" xfId="67" applyFont="1" applyFill="1" applyBorder="1" applyAlignment="1">
      <alignment horizontal="center" vertical="center" wrapText="1"/>
      <protection/>
    </xf>
    <xf numFmtId="1" fontId="8" fillId="35" borderId="19" xfId="61" applyNumberFormat="1" applyFont="1" applyFill="1" applyBorder="1" applyAlignment="1">
      <alignment horizontal="center" vertical="center"/>
      <protection/>
    </xf>
    <xf numFmtId="176" fontId="33" fillId="35" borderId="39" xfId="61" applyNumberFormat="1" applyFont="1" applyFill="1" applyBorder="1" applyAlignment="1">
      <alignment horizontal="center" vertical="center"/>
      <protection/>
    </xf>
    <xf numFmtId="176" fontId="33" fillId="35" borderId="18" xfId="61" applyNumberFormat="1" applyFont="1" applyFill="1" applyBorder="1" applyAlignment="1">
      <alignment horizontal="center" vertical="center"/>
      <protection/>
    </xf>
    <xf numFmtId="0" fontId="40" fillId="38" borderId="0" xfId="67" applyFont="1" applyFill="1">
      <alignment/>
      <protection/>
    </xf>
    <xf numFmtId="0" fontId="41" fillId="39" borderId="0" xfId="67" applyFont="1" applyFill="1">
      <alignment/>
      <protection/>
    </xf>
    <xf numFmtId="0" fontId="41" fillId="39" borderId="14" xfId="67" applyFont="1" applyFill="1" applyBorder="1">
      <alignment/>
      <protection/>
    </xf>
    <xf numFmtId="49" fontId="42" fillId="39" borderId="19" xfId="67" applyNumberFormat="1" applyFont="1" applyFill="1" applyBorder="1" applyAlignment="1">
      <alignment vertical="center" wrapText="1"/>
      <protection/>
    </xf>
    <xf numFmtId="49" fontId="42" fillId="39" borderId="17" xfId="67" applyNumberFormat="1" applyFont="1" applyFill="1" applyBorder="1" applyAlignment="1">
      <alignment vertical="center" wrapText="1"/>
      <protection/>
    </xf>
    <xf numFmtId="0" fontId="41" fillId="39" borderId="15" xfId="67" applyFont="1" applyFill="1" applyBorder="1">
      <alignment/>
      <protection/>
    </xf>
    <xf numFmtId="0" fontId="41" fillId="37" borderId="0" xfId="67" applyFont="1" applyFill="1">
      <alignment/>
      <protection/>
    </xf>
    <xf numFmtId="0" fontId="41" fillId="38" borderId="0" xfId="67" applyFont="1" applyFill="1">
      <alignment/>
      <protection/>
    </xf>
    <xf numFmtId="2" fontId="2" fillId="39" borderId="43" xfId="67" applyNumberFormat="1" applyFont="1" applyFill="1" applyBorder="1" applyAlignment="1">
      <alignment horizontal="center" vertical="center" wrapText="1"/>
      <protection/>
    </xf>
    <xf numFmtId="0" fontId="2" fillId="39" borderId="23" xfId="67" applyFont="1" applyFill="1" applyBorder="1" applyAlignment="1">
      <alignment horizontal="center"/>
      <protection/>
    </xf>
    <xf numFmtId="2" fontId="2" fillId="39" borderId="19" xfId="67" applyNumberFormat="1" applyFont="1" applyFill="1" applyBorder="1" applyAlignment="1">
      <alignment horizontal="center" vertical="center" wrapText="1"/>
      <protection/>
    </xf>
    <xf numFmtId="0" fontId="33" fillId="39" borderId="24" xfId="60" applyFont="1" applyFill="1" applyBorder="1" applyAlignment="1">
      <alignment horizontal="left" vertical="center" wrapText="1" indent="1"/>
      <protection/>
    </xf>
    <xf numFmtId="0" fontId="2" fillId="39" borderId="21" xfId="67" applyFont="1" applyFill="1" applyBorder="1" applyAlignment="1">
      <alignment horizontal="center" vertical="center" wrapText="1"/>
      <protection/>
    </xf>
    <xf numFmtId="49" fontId="42" fillId="39" borderId="19" xfId="67" applyNumberFormat="1" applyFont="1" applyFill="1" applyBorder="1" applyAlignment="1">
      <alignment horizontal="left" vertical="center" wrapText="1" indent="2"/>
      <protection/>
    </xf>
    <xf numFmtId="0" fontId="2" fillId="39" borderId="0" xfId="67" applyFont="1" applyFill="1">
      <alignment/>
      <protection/>
    </xf>
    <xf numFmtId="0" fontId="2" fillId="39" borderId="14" xfId="67" applyFont="1" applyFill="1" applyBorder="1">
      <alignment/>
      <protection/>
    </xf>
    <xf numFmtId="0" fontId="2" fillId="39" borderId="18" xfId="67" applyFont="1" applyFill="1" applyBorder="1" applyAlignment="1">
      <alignment horizontal="center"/>
      <protection/>
    </xf>
    <xf numFmtId="1" fontId="2" fillId="39" borderId="21" xfId="67" applyNumberFormat="1" applyFont="1" applyFill="1" applyBorder="1" applyAlignment="1">
      <alignment horizontal="center" vertical="center" wrapText="1"/>
      <protection/>
    </xf>
    <xf numFmtId="0" fontId="2" fillId="39" borderId="15" xfId="67" applyFont="1" applyFill="1" applyBorder="1">
      <alignment/>
      <protection/>
    </xf>
    <xf numFmtId="0" fontId="2" fillId="37" borderId="0" xfId="67" applyFont="1" applyFill="1">
      <alignment/>
      <protection/>
    </xf>
    <xf numFmtId="0" fontId="2" fillId="38" borderId="0" xfId="67" applyFont="1" applyFill="1">
      <alignment/>
      <protection/>
    </xf>
    <xf numFmtId="0" fontId="2" fillId="39" borderId="18" xfId="67" applyFont="1" applyFill="1" applyBorder="1" applyAlignment="1">
      <alignment horizontal="center" vertical="center" wrapText="1"/>
      <protection/>
    </xf>
    <xf numFmtId="1" fontId="2" fillId="39" borderId="17" xfId="67" applyNumberFormat="1" applyFont="1" applyFill="1" applyBorder="1" applyAlignment="1">
      <alignment horizontal="center" vertical="center" wrapText="1"/>
      <protection/>
    </xf>
    <xf numFmtId="0" fontId="33" fillId="39" borderId="28" xfId="60" applyFont="1" applyFill="1" applyBorder="1" applyAlignment="1">
      <alignment horizontal="left" vertical="center" wrapText="1" indent="1"/>
      <protection/>
    </xf>
    <xf numFmtId="49" fontId="49" fillId="39" borderId="19" xfId="67" applyNumberFormat="1" applyFont="1" applyFill="1" applyBorder="1" applyAlignment="1">
      <alignment vertical="center" wrapText="1"/>
      <protection/>
    </xf>
    <xf numFmtId="1" fontId="42" fillId="39" borderId="19" xfId="67" applyNumberFormat="1" applyFont="1" applyFill="1" applyBorder="1" applyAlignment="1">
      <alignment vertical="center" wrapText="1"/>
      <protection/>
    </xf>
    <xf numFmtId="0" fontId="33" fillId="39" borderId="44" xfId="60" applyFont="1" applyFill="1" applyBorder="1" applyAlignment="1">
      <alignment horizontal="left" vertical="center" wrapText="1" indent="1"/>
      <protection/>
    </xf>
    <xf numFmtId="0" fontId="2" fillId="0" borderId="18" xfId="67" applyFont="1" applyFill="1" applyBorder="1" applyAlignment="1">
      <alignment horizontal="center"/>
      <protection/>
    </xf>
    <xf numFmtId="0" fontId="2" fillId="0" borderId="18" xfId="67" applyFont="1" applyFill="1" applyBorder="1" applyAlignment="1">
      <alignment horizontal="center" vertical="center" wrapText="1"/>
      <protection/>
    </xf>
    <xf numFmtId="49" fontId="49" fillId="40" borderId="19" xfId="67" applyNumberFormat="1" applyFont="1" applyFill="1" applyBorder="1" applyAlignment="1">
      <alignment vertical="center" wrapText="1"/>
      <protection/>
    </xf>
    <xf numFmtId="0" fontId="6" fillId="39" borderId="25" xfId="67" applyFont="1" applyFill="1" applyBorder="1" applyAlignment="1">
      <alignment horizontal="center" vertical="center" wrapText="1"/>
      <protection/>
    </xf>
    <xf numFmtId="49" fontId="6" fillId="39" borderId="17" xfId="67" applyNumberFormat="1" applyFont="1" applyFill="1" applyBorder="1" applyAlignment="1">
      <alignment horizontal="left" vertical="center" wrapText="1" indent="1"/>
      <protection/>
    </xf>
    <xf numFmtId="0" fontId="12" fillId="38" borderId="0" xfId="67" applyFont="1" applyFill="1">
      <alignment/>
      <protection/>
    </xf>
    <xf numFmtId="0" fontId="13" fillId="39" borderId="0" xfId="67" applyFont="1" applyFill="1">
      <alignment/>
      <protection/>
    </xf>
    <xf numFmtId="0" fontId="13" fillId="39" borderId="36" xfId="67" applyFont="1" applyFill="1" applyBorder="1">
      <alignment/>
      <protection/>
    </xf>
    <xf numFmtId="0" fontId="2" fillId="39" borderId="10" xfId="67" applyFont="1" applyFill="1" applyBorder="1" applyAlignment="1">
      <alignment horizontal="left" vertical="center" indent="1"/>
      <protection/>
    </xf>
    <xf numFmtId="0" fontId="13" fillId="39" borderId="10" xfId="67" applyFont="1" applyFill="1" applyBorder="1" applyAlignment="1">
      <alignment horizontal="center"/>
      <protection/>
    </xf>
    <xf numFmtId="0" fontId="13" fillId="39" borderId="10" xfId="67" applyFont="1" applyFill="1" applyBorder="1" applyAlignment="1">
      <alignment horizontal="left"/>
      <protection/>
    </xf>
    <xf numFmtId="2" fontId="13" fillId="39" borderId="10" xfId="67" applyNumberFormat="1" applyFont="1" applyFill="1" applyBorder="1" applyAlignment="1">
      <alignment horizontal="left"/>
      <protection/>
    </xf>
    <xf numFmtId="0" fontId="13" fillId="41" borderId="10" xfId="67" applyFont="1" applyFill="1" applyBorder="1">
      <alignment/>
      <protection/>
    </xf>
    <xf numFmtId="0" fontId="13" fillId="39" borderId="10" xfId="67" applyFont="1" applyFill="1" applyBorder="1">
      <alignment/>
      <protection/>
    </xf>
    <xf numFmtId="0" fontId="13" fillId="39" borderId="38" xfId="67" applyFont="1" applyFill="1" applyBorder="1">
      <alignment/>
      <protection/>
    </xf>
    <xf numFmtId="0" fontId="6" fillId="0" borderId="12" xfId="67" applyFont="1" applyBorder="1" applyAlignment="1">
      <alignment/>
      <protection/>
    </xf>
    <xf numFmtId="0" fontId="2" fillId="39" borderId="0" xfId="67" applyFont="1" applyFill="1" applyBorder="1" applyAlignment="1">
      <alignment horizontal="left" vertical="center" indent="1"/>
      <protection/>
    </xf>
    <xf numFmtId="0" fontId="13" fillId="39" borderId="0" xfId="67" applyFont="1" applyFill="1" applyBorder="1" applyAlignment="1">
      <alignment horizontal="center"/>
      <protection/>
    </xf>
    <xf numFmtId="0" fontId="13" fillId="39" borderId="0" xfId="67" applyFont="1" applyFill="1" applyBorder="1" applyAlignment="1">
      <alignment horizontal="left"/>
      <protection/>
    </xf>
    <xf numFmtId="2" fontId="13" fillId="39" borderId="0" xfId="67" applyNumberFormat="1" applyFont="1" applyFill="1" applyBorder="1" applyAlignment="1">
      <alignment horizontal="left"/>
      <protection/>
    </xf>
    <xf numFmtId="0" fontId="13" fillId="39" borderId="0" xfId="67" applyFont="1" applyFill="1" applyBorder="1">
      <alignment/>
      <protection/>
    </xf>
    <xf numFmtId="0" fontId="43" fillId="38" borderId="0" xfId="67" applyFont="1" applyFill="1">
      <alignment/>
      <protection/>
    </xf>
    <xf numFmtId="0" fontId="18" fillId="39" borderId="0" xfId="67" applyFont="1" applyFill="1">
      <alignment/>
      <protection/>
    </xf>
    <xf numFmtId="0" fontId="18" fillId="37" borderId="0" xfId="67" applyFont="1" applyFill="1">
      <alignment/>
      <protection/>
    </xf>
    <xf numFmtId="0" fontId="18" fillId="38" borderId="0" xfId="67" applyFont="1" applyFill="1">
      <alignment/>
      <protection/>
    </xf>
    <xf numFmtId="0" fontId="18" fillId="39" borderId="0" xfId="67" applyFont="1" applyFill="1" applyBorder="1" applyAlignment="1">
      <alignment horizontal="left"/>
      <protection/>
    </xf>
    <xf numFmtId="0" fontId="21" fillId="39" borderId="0" xfId="60" applyFont="1" applyFill="1" applyBorder="1" applyAlignment="1">
      <alignment vertical="center"/>
      <protection/>
    </xf>
    <xf numFmtId="0" fontId="6" fillId="39" borderId="0" xfId="67" applyFont="1" applyFill="1" applyBorder="1" applyAlignment="1">
      <alignment horizontal="left" vertical="center" indent="1"/>
      <protection/>
    </xf>
    <xf numFmtId="0" fontId="25" fillId="39" borderId="0" xfId="67" applyFont="1" applyFill="1" applyBorder="1" applyAlignment="1">
      <alignment horizontal="center"/>
      <protection/>
    </xf>
    <xf numFmtId="0" fontId="25" fillId="39" borderId="0" xfId="67" applyFont="1" applyFill="1" applyBorder="1" applyAlignment="1">
      <alignment horizontal="left"/>
      <protection/>
    </xf>
    <xf numFmtId="2" fontId="25" fillId="39" borderId="0" xfId="67" applyNumberFormat="1" applyFont="1" applyFill="1" applyBorder="1" applyAlignment="1">
      <alignment horizontal="left"/>
      <protection/>
    </xf>
    <xf numFmtId="0" fontId="22" fillId="39" borderId="0" xfId="60" applyFont="1" applyFill="1" applyBorder="1" applyAlignment="1">
      <alignment vertical="center"/>
      <protection/>
    </xf>
    <xf numFmtId="0" fontId="47" fillId="39" borderId="0" xfId="67" applyFont="1" applyFill="1" applyBorder="1" applyAlignment="1">
      <alignment horizontal="left" vertical="center" indent="1"/>
      <protection/>
    </xf>
    <xf numFmtId="0" fontId="38" fillId="39" borderId="0" xfId="67" applyFont="1" applyFill="1" applyBorder="1" applyAlignment="1">
      <alignment horizontal="center" vertical="center"/>
      <protection/>
    </xf>
    <xf numFmtId="0" fontId="38" fillId="39" borderId="0" xfId="67" applyFont="1" applyFill="1" applyBorder="1" applyAlignment="1">
      <alignment horizontal="left" vertical="center"/>
      <protection/>
    </xf>
    <xf numFmtId="2" fontId="38" fillId="39" borderId="0" xfId="67" applyNumberFormat="1" applyFont="1" applyFill="1" applyBorder="1" applyAlignment="1">
      <alignment horizontal="left" vertical="center"/>
      <protection/>
    </xf>
    <xf numFmtId="0" fontId="23" fillId="39" borderId="0" xfId="67" applyFont="1" applyFill="1" applyBorder="1" applyAlignment="1">
      <alignment horizontal="left" vertical="center"/>
      <protection/>
    </xf>
    <xf numFmtId="0" fontId="23" fillId="39" borderId="0" xfId="67" applyFont="1" applyFill="1" applyBorder="1" applyAlignment="1">
      <alignment vertical="center"/>
      <protection/>
    </xf>
    <xf numFmtId="0" fontId="23" fillId="37" borderId="0" xfId="67" applyFont="1" applyFill="1" applyBorder="1" applyAlignment="1">
      <alignment vertical="center"/>
      <protection/>
    </xf>
    <xf numFmtId="0" fontId="47" fillId="39" borderId="0" xfId="67" applyFont="1" applyFill="1" applyBorder="1" applyAlignment="1">
      <alignment horizontal="left" vertical="center" indent="1"/>
      <protection/>
    </xf>
    <xf numFmtId="0" fontId="38" fillId="39" borderId="0" xfId="67" applyFont="1" applyFill="1" applyBorder="1" applyAlignment="1">
      <alignment horizontal="center" vertical="center"/>
      <protection/>
    </xf>
    <xf numFmtId="0" fontId="38" fillId="39" borderId="0" xfId="67" applyFont="1" applyFill="1" applyBorder="1" applyAlignment="1">
      <alignment horizontal="left" vertical="center"/>
      <protection/>
    </xf>
    <xf numFmtId="2" fontId="38" fillId="39" borderId="0" xfId="67" applyNumberFormat="1" applyFont="1" applyFill="1" applyBorder="1" applyAlignment="1">
      <alignment horizontal="left" vertical="center"/>
      <protection/>
    </xf>
    <xf numFmtId="0" fontId="24" fillId="39" borderId="0" xfId="60" applyFont="1" applyFill="1" applyBorder="1" applyAlignment="1">
      <alignment vertical="center"/>
      <protection/>
    </xf>
    <xf numFmtId="0" fontId="48" fillId="39" borderId="0" xfId="67" applyFont="1" applyFill="1" applyBorder="1" applyAlignment="1">
      <alignment horizontal="left" vertical="center" indent="1"/>
      <protection/>
    </xf>
    <xf numFmtId="0" fontId="23" fillId="39" borderId="0" xfId="67" applyFont="1" applyFill="1" applyBorder="1" applyAlignment="1">
      <alignment horizontal="center" vertical="center"/>
      <protection/>
    </xf>
    <xf numFmtId="0" fontId="23" fillId="39" borderId="0" xfId="67" applyFont="1" applyFill="1" applyBorder="1" applyAlignment="1">
      <alignment horizontal="left" vertical="center"/>
      <protection/>
    </xf>
    <xf numFmtId="0" fontId="13" fillId="39" borderId="0" xfId="67" applyFont="1" applyFill="1" applyAlignment="1">
      <alignment horizontal="center"/>
      <protection/>
    </xf>
    <xf numFmtId="0" fontId="13" fillId="39" borderId="0" xfId="67" applyFont="1" applyFill="1" applyAlignment="1">
      <alignment horizontal="left"/>
      <protection/>
    </xf>
    <xf numFmtId="0" fontId="13" fillId="37" borderId="0" xfId="67" applyFont="1" applyFill="1" applyAlignment="1">
      <alignment horizontal="left"/>
      <protection/>
    </xf>
    <xf numFmtId="0" fontId="50" fillId="36" borderId="45" xfId="68" applyNumberFormat="1" applyFont="1" applyFill="1" applyBorder="1" applyAlignment="1">
      <alignment horizontal="left" vertical="top"/>
      <protection/>
    </xf>
    <xf numFmtId="3" fontId="50" fillId="36" borderId="45" xfId="68" applyNumberFormat="1" applyFont="1" applyFill="1" applyBorder="1" applyAlignment="1">
      <alignment horizontal="right" vertical="top"/>
      <protection/>
    </xf>
    <xf numFmtId="0" fontId="8" fillId="33" borderId="0" xfId="59" applyFont="1" applyFill="1" applyBorder="1" applyAlignment="1">
      <alignment vertical="center"/>
      <protection/>
    </xf>
    <xf numFmtId="0" fontId="2" fillId="33" borderId="0" xfId="59" applyFont="1" applyFill="1" applyAlignment="1">
      <alignment vertical="center"/>
      <protection/>
    </xf>
    <xf numFmtId="0" fontId="2" fillId="33" borderId="0" xfId="55" applyFont="1" applyFill="1" applyAlignment="1">
      <alignment vertical="center"/>
      <protection/>
    </xf>
    <xf numFmtId="0" fontId="2" fillId="33" borderId="0" xfId="55" applyFont="1" applyFill="1" applyAlignment="1">
      <alignment horizontal="center" vertical="center"/>
      <protection/>
    </xf>
    <xf numFmtId="0" fontId="2" fillId="33" borderId="0" xfId="55" applyFont="1" applyFill="1" applyAlignment="1">
      <alignment horizontal="left" vertical="center"/>
      <protection/>
    </xf>
    <xf numFmtId="0" fontId="2" fillId="0" borderId="0" xfId="55" applyFont="1" applyFill="1" applyAlignment="1">
      <alignment vertical="center"/>
      <protection/>
    </xf>
    <xf numFmtId="0" fontId="2" fillId="0" borderId="0" xfId="55" applyFont="1" applyFill="1" applyAlignment="1">
      <alignment horizontal="center" vertical="center"/>
      <protection/>
    </xf>
    <xf numFmtId="0" fontId="2" fillId="0" borderId="0" xfId="55" applyFont="1" applyFill="1" applyAlignment="1">
      <alignment horizontal="left" vertical="center"/>
      <protection/>
    </xf>
    <xf numFmtId="0" fontId="2" fillId="0" borderId="0" xfId="59" applyFont="1" applyFill="1" applyAlignment="1">
      <alignment vertical="center"/>
      <protection/>
    </xf>
    <xf numFmtId="0" fontId="51" fillId="0" borderId="0" xfId="69" applyFont="1" applyFill="1" applyAlignment="1">
      <alignment horizontal="left" vertical="center" indent="1"/>
      <protection/>
    </xf>
    <xf numFmtId="0" fontId="8" fillId="33" borderId="0" xfId="69" applyFont="1" applyFill="1" applyBorder="1" applyAlignment="1">
      <alignment vertical="center"/>
      <protection/>
    </xf>
    <xf numFmtId="0" fontId="8" fillId="0" borderId="0" xfId="69" applyFont="1" applyFill="1" applyBorder="1" applyAlignment="1">
      <alignment vertical="center"/>
      <protection/>
    </xf>
    <xf numFmtId="0" fontId="52" fillId="0" borderId="0" xfId="69" applyFont="1" applyFill="1" applyBorder="1" applyAlignment="1">
      <alignment vertical="center"/>
      <protection/>
    </xf>
    <xf numFmtId="0" fontId="2" fillId="0" borderId="0" xfId="55" applyFont="1" applyFill="1" applyBorder="1" applyAlignment="1">
      <alignment vertical="center"/>
      <protection/>
    </xf>
    <xf numFmtId="0" fontId="53" fillId="33" borderId="0" xfId="69" applyFont="1" applyFill="1" applyBorder="1" applyAlignment="1">
      <alignment vertical="center"/>
      <protection/>
    </xf>
    <xf numFmtId="0" fontId="53" fillId="0" borderId="0" xfId="69" applyFont="1" applyFill="1" applyBorder="1" applyAlignment="1">
      <alignment vertical="center"/>
      <protection/>
    </xf>
    <xf numFmtId="0" fontId="0" fillId="0" borderId="0" xfId="63">
      <alignment/>
      <protection/>
    </xf>
    <xf numFmtId="0" fontId="33" fillId="0" borderId="0" xfId="69" applyFont="1" applyFill="1" applyBorder="1" applyAlignment="1">
      <alignment horizontal="center" vertical="center"/>
      <protection/>
    </xf>
    <xf numFmtId="0" fontId="24" fillId="0" borderId="0" xfId="69" applyFont="1" applyFill="1" applyBorder="1" applyAlignment="1">
      <alignment horizontal="center" vertical="center"/>
      <protection/>
    </xf>
    <xf numFmtId="0" fontId="53" fillId="33" borderId="0" xfId="69" applyFont="1" applyFill="1" applyBorder="1" applyAlignment="1">
      <alignment horizontal="center" vertical="center"/>
      <protection/>
    </xf>
    <xf numFmtId="0" fontId="53" fillId="33" borderId="0" xfId="69" applyFont="1" applyFill="1" applyBorder="1" applyAlignment="1">
      <alignment horizontal="left" vertical="center"/>
      <protection/>
    </xf>
    <xf numFmtId="175" fontId="53" fillId="33" borderId="0" xfId="69" applyNumberFormat="1" applyFont="1" applyFill="1" applyBorder="1" applyAlignment="1">
      <alignment horizontal="center" vertical="center"/>
      <protection/>
    </xf>
    <xf numFmtId="175" fontId="53" fillId="33" borderId="0" xfId="69" applyNumberFormat="1" applyFont="1" applyFill="1" applyBorder="1" applyAlignment="1">
      <alignment horizontal="center" vertical="center"/>
      <protection/>
    </xf>
    <xf numFmtId="0" fontId="53" fillId="33" borderId="0" xfId="69" applyNumberFormat="1" applyFont="1" applyFill="1" applyBorder="1" applyAlignment="1">
      <alignment horizontal="center" vertical="center"/>
      <protection/>
    </xf>
    <xf numFmtId="0" fontId="75" fillId="0" borderId="0" xfId="69" applyFont="1" applyFill="1" applyBorder="1" applyAlignment="1">
      <alignment horizontal="center" vertical="center"/>
      <protection/>
    </xf>
    <xf numFmtId="0" fontId="0" fillId="0" borderId="0" xfId="63" applyFont="1">
      <alignment/>
      <protection/>
    </xf>
    <xf numFmtId="0" fontId="8" fillId="0" borderId="0" xfId="57">
      <alignment/>
      <protection/>
    </xf>
    <xf numFmtId="0" fontId="53" fillId="33" borderId="0" xfId="69" applyFont="1" applyFill="1" applyBorder="1" applyAlignment="1">
      <alignment horizontal="centerContinuous" vertical="center"/>
      <protection/>
    </xf>
    <xf numFmtId="0" fontId="54" fillId="33" borderId="0" xfId="69" applyFont="1" applyFill="1" applyBorder="1" applyAlignment="1">
      <alignment vertical="center"/>
      <protection/>
    </xf>
    <xf numFmtId="0" fontId="54" fillId="0" borderId="0" xfId="69" applyFont="1" applyFill="1" applyBorder="1" applyAlignment="1">
      <alignment vertical="center"/>
      <protection/>
    </xf>
    <xf numFmtId="0" fontId="54" fillId="33" borderId="0" xfId="69" applyFont="1" applyFill="1" applyBorder="1" applyAlignment="1">
      <alignment horizontal="center" vertical="center"/>
      <protection/>
    </xf>
    <xf numFmtId="0" fontId="54" fillId="33" borderId="0" xfId="69" applyFont="1" applyFill="1" applyBorder="1" applyAlignment="1">
      <alignment horizontal="left" vertical="center"/>
      <protection/>
    </xf>
    <xf numFmtId="0" fontId="54" fillId="33" borderId="0" xfId="69" applyFont="1" applyFill="1" applyBorder="1" applyAlignment="1">
      <alignment horizontal="centerContinuous" vertical="center"/>
      <protection/>
    </xf>
    <xf numFmtId="175" fontId="54" fillId="33" borderId="0" xfId="69" applyNumberFormat="1" applyFont="1" applyFill="1" applyBorder="1" applyAlignment="1">
      <alignment horizontal="center" vertical="center"/>
      <protection/>
    </xf>
    <xf numFmtId="0" fontId="54" fillId="33" borderId="0" xfId="69" applyNumberFormat="1" applyFont="1" applyFill="1" applyBorder="1" applyAlignment="1">
      <alignment horizontal="center" vertical="center"/>
      <protection/>
    </xf>
    <xf numFmtId="0" fontId="32" fillId="33" borderId="0" xfId="69" applyFont="1" applyFill="1" applyBorder="1" applyAlignment="1">
      <alignment vertical="center"/>
      <protection/>
    </xf>
    <xf numFmtId="0" fontId="32" fillId="0" borderId="0" xfId="69" applyFont="1" applyFill="1" applyBorder="1" applyAlignment="1">
      <alignment vertical="center"/>
      <protection/>
    </xf>
    <xf numFmtId="0" fontId="98" fillId="0" borderId="0" xfId="42" applyFont="1" applyAlignment="1" applyProtection="1">
      <alignment/>
      <protection/>
    </xf>
    <xf numFmtId="0" fontId="32" fillId="33" borderId="0" xfId="69" applyFont="1" applyFill="1" applyBorder="1" applyAlignment="1">
      <alignment horizontal="center" vertical="center"/>
      <protection/>
    </xf>
    <xf numFmtId="0" fontId="32" fillId="33" borderId="0" xfId="69" applyFont="1" applyFill="1" applyBorder="1" applyAlignment="1">
      <alignment horizontal="left" vertical="center"/>
      <protection/>
    </xf>
    <xf numFmtId="0" fontId="32" fillId="33" borderId="0" xfId="69" applyFont="1" applyFill="1" applyBorder="1" applyAlignment="1">
      <alignment horizontal="centerContinuous" vertical="center"/>
      <protection/>
    </xf>
    <xf numFmtId="175" fontId="32" fillId="33" borderId="0" xfId="69" applyNumberFormat="1" applyFont="1" applyFill="1" applyBorder="1" applyAlignment="1">
      <alignment horizontal="center" vertical="center"/>
      <protection/>
    </xf>
    <xf numFmtId="175" fontId="32" fillId="33" borderId="0" xfId="69" applyNumberFormat="1" applyFont="1" applyFill="1" applyBorder="1" applyAlignment="1">
      <alignment horizontal="center" vertical="center"/>
      <protection/>
    </xf>
    <xf numFmtId="0" fontId="32" fillId="33" borderId="0" xfId="69" applyNumberFormat="1" applyFont="1" applyFill="1" applyBorder="1" applyAlignment="1">
      <alignment horizontal="center" vertical="center"/>
      <protection/>
    </xf>
    <xf numFmtId="0" fontId="81" fillId="0" borderId="0" xfId="42" applyAlignment="1" applyProtection="1">
      <alignment horizontal="center"/>
      <protection/>
    </xf>
    <xf numFmtId="0" fontId="2" fillId="33" borderId="0" xfId="55" applyFont="1" applyFill="1" applyBorder="1" applyAlignment="1">
      <alignment vertical="center"/>
      <protection/>
    </xf>
    <xf numFmtId="0" fontId="2" fillId="0" borderId="0" xfId="55" applyFont="1" applyFill="1" applyAlignment="1">
      <alignment horizontal="center" vertical="center"/>
      <protection/>
    </xf>
    <xf numFmtId="0" fontId="51" fillId="0" borderId="0" xfId="69" applyFont="1" applyFill="1" applyAlignment="1">
      <alignment horizontal="left" vertical="center" indent="1"/>
      <protection/>
    </xf>
    <xf numFmtId="0" fontId="52" fillId="0" borderId="0" xfId="69" applyFont="1" applyFill="1" applyBorder="1" applyAlignment="1">
      <alignment horizontal="center" vertical="center"/>
      <protection/>
    </xf>
    <xf numFmtId="0" fontId="52" fillId="0" borderId="0" xfId="69" applyFont="1" applyFill="1" applyBorder="1" applyAlignment="1">
      <alignment vertical="center"/>
      <protection/>
    </xf>
    <xf numFmtId="0" fontId="98" fillId="0" borderId="0" xfId="42" applyFont="1" applyAlignment="1" applyProtection="1">
      <alignment horizontal="center"/>
      <protection/>
    </xf>
    <xf numFmtId="0" fontId="81" fillId="0" borderId="0" xfId="42" applyAlignment="1" applyProtection="1">
      <alignment horizontal="center"/>
      <protection/>
    </xf>
    <xf numFmtId="0" fontId="54" fillId="0" borderId="0" xfId="69" applyFont="1" applyFill="1" applyBorder="1" applyAlignment="1">
      <alignment horizontal="center" vertical="center"/>
      <protection/>
    </xf>
    <xf numFmtId="0" fontId="8" fillId="0" borderId="0" xfId="57">
      <alignment/>
      <protection/>
    </xf>
    <xf numFmtId="0" fontId="5" fillId="0" borderId="0" xfId="67" applyFont="1" applyAlignment="1">
      <alignment horizontal="center" vertical="center"/>
      <protection/>
    </xf>
    <xf numFmtId="0" fontId="6" fillId="0" borderId="0" xfId="67" applyFont="1" applyAlignment="1">
      <alignment horizontal="center" vertical="center"/>
      <protection/>
    </xf>
    <xf numFmtId="0" fontId="6" fillId="0" borderId="10" xfId="67" applyFont="1" applyBorder="1" applyAlignment="1">
      <alignment horizontal="right"/>
      <protection/>
    </xf>
    <xf numFmtId="0" fontId="6" fillId="0" borderId="28" xfId="67" applyFont="1" applyFill="1" applyBorder="1" applyAlignment="1">
      <alignment horizontal="center"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6" fillId="0" borderId="42" xfId="67" applyFont="1" applyFill="1" applyBorder="1" applyAlignment="1">
      <alignment horizontal="center" vertical="center" wrapText="1"/>
      <protection/>
    </xf>
    <xf numFmtId="0" fontId="6" fillId="0" borderId="16" xfId="67" applyFont="1" applyFill="1" applyBorder="1" applyAlignment="1">
      <alignment horizontal="center" vertical="center" wrapText="1"/>
      <protection/>
    </xf>
    <xf numFmtId="0" fontId="6" fillId="0" borderId="42" xfId="67" applyFont="1" applyBorder="1" applyAlignment="1">
      <alignment horizontal="center" vertical="center" wrapText="1"/>
      <protection/>
    </xf>
    <xf numFmtId="0" fontId="6" fillId="0" borderId="16" xfId="67" applyFont="1" applyBorder="1" applyAlignment="1">
      <alignment horizontal="center" vertical="center" wrapText="1"/>
      <protection/>
    </xf>
    <xf numFmtId="0" fontId="6" fillId="0" borderId="28" xfId="67" applyFont="1" applyBorder="1" applyAlignment="1">
      <alignment horizontal="center" vertical="center" wrapText="1"/>
      <protection/>
    </xf>
    <xf numFmtId="0" fontId="6" fillId="0" borderId="24" xfId="67" applyFont="1" applyBorder="1" applyAlignment="1">
      <alignment horizontal="center" vertical="center" wrapText="1"/>
      <protection/>
    </xf>
    <xf numFmtId="0" fontId="6" fillId="0" borderId="40" xfId="67" applyFont="1" applyBorder="1" applyAlignment="1">
      <alignment horizontal="center" vertical="center" wrapText="1"/>
      <protection/>
    </xf>
    <xf numFmtId="0" fontId="6" fillId="0" borderId="32" xfId="67" applyFont="1" applyBorder="1" applyAlignment="1">
      <alignment horizontal="center" vertical="center" wrapText="1"/>
      <protection/>
    </xf>
    <xf numFmtId="0" fontId="6" fillId="0" borderId="27" xfId="67" applyFont="1" applyBorder="1" applyAlignment="1">
      <alignment horizontal="center" vertical="center" wrapText="1"/>
      <protection/>
    </xf>
    <xf numFmtId="0" fontId="6" fillId="0" borderId="31" xfId="67" applyFont="1" applyBorder="1" applyAlignment="1">
      <alignment horizontal="center" vertical="center" wrapText="1"/>
      <protection/>
    </xf>
    <xf numFmtId="0" fontId="6" fillId="0" borderId="19" xfId="67" applyFont="1" applyBorder="1" applyAlignment="1">
      <alignment horizontal="center" vertical="center" wrapText="1"/>
      <protection/>
    </xf>
    <xf numFmtId="49" fontId="9" fillId="0" borderId="19" xfId="67" applyNumberFormat="1" applyFont="1" applyBorder="1" applyAlignment="1">
      <alignment horizontal="left" vertical="center" wrapText="1" indent="3"/>
      <protection/>
    </xf>
    <xf numFmtId="0" fontId="2" fillId="35" borderId="27" xfId="64" applyFont="1" applyFill="1" applyBorder="1" applyAlignment="1">
      <alignment horizontal="left" vertical="center" indent="1"/>
      <protection/>
    </xf>
    <xf numFmtId="0" fontId="2" fillId="35" borderId="34" xfId="64" applyFont="1" applyFill="1" applyBorder="1" applyAlignment="1">
      <alignment horizontal="left" vertical="center" indent="1"/>
      <protection/>
    </xf>
    <xf numFmtId="0" fontId="2" fillId="35" borderId="31" xfId="64" applyFont="1" applyFill="1" applyBorder="1" applyAlignment="1">
      <alignment horizontal="left" vertical="center" indent="1"/>
      <protection/>
    </xf>
    <xf numFmtId="173" fontId="6" fillId="0" borderId="19" xfId="67" applyNumberFormat="1" applyFont="1" applyFill="1" applyBorder="1" applyAlignment="1">
      <alignment horizontal="center" vertical="center" wrapText="1"/>
      <protection/>
    </xf>
    <xf numFmtId="49" fontId="96" fillId="35" borderId="19" xfId="67" applyNumberFormat="1" applyFont="1" applyFill="1" applyBorder="1" applyAlignment="1">
      <alignment horizontal="left" vertical="center" wrapText="1" indent="2"/>
      <protection/>
    </xf>
    <xf numFmtId="0" fontId="2" fillId="35" borderId="21" xfId="64" applyFont="1" applyFill="1" applyBorder="1" applyAlignment="1">
      <alignment horizontal="left" vertical="center" indent="1"/>
      <protection/>
    </xf>
    <xf numFmtId="0" fontId="6" fillId="0" borderId="0" xfId="67" applyFont="1" applyAlignment="1">
      <alignment horizontal="left"/>
      <protection/>
    </xf>
    <xf numFmtId="0" fontId="6" fillId="0" borderId="0" xfId="67" applyFont="1" applyBorder="1" applyAlignment="1">
      <alignment horizontal="left" vertical="center" wrapText="1"/>
      <protection/>
    </xf>
    <xf numFmtId="0" fontId="2" fillId="0" borderId="0" xfId="67" applyFont="1" applyBorder="1" applyAlignment="1">
      <alignment horizontal="left"/>
      <protection/>
    </xf>
    <xf numFmtId="0" fontId="5" fillId="0" borderId="0" xfId="56" applyFont="1" applyAlignment="1">
      <alignment horizontal="center"/>
      <protection/>
    </xf>
    <xf numFmtId="0" fontId="6" fillId="42" borderId="37" xfId="67" applyFont="1" applyFill="1" applyBorder="1" applyAlignment="1">
      <alignment horizontal="center" vertical="center"/>
      <protection/>
    </xf>
    <xf numFmtId="0" fontId="6" fillId="42" borderId="46" xfId="67" applyFont="1" applyFill="1" applyBorder="1" applyAlignment="1">
      <alignment horizontal="center" vertical="center"/>
      <protection/>
    </xf>
    <xf numFmtId="0" fontId="6" fillId="42" borderId="47" xfId="67" applyFont="1" applyFill="1" applyBorder="1" applyAlignment="1">
      <alignment horizontal="center" vertical="center"/>
      <protection/>
    </xf>
    <xf numFmtId="0" fontId="2" fillId="35" borderId="48" xfId="62" applyFont="1" applyFill="1" applyBorder="1" applyAlignment="1">
      <alignment horizontal="center" vertical="center" wrapText="1"/>
      <protection/>
    </xf>
    <xf numFmtId="0" fontId="2" fillId="35" borderId="49" xfId="62" applyFont="1" applyFill="1" applyBorder="1" applyAlignment="1">
      <alignment horizontal="center" vertical="center" wrapText="1"/>
      <protection/>
    </xf>
    <xf numFmtId="0" fontId="2" fillId="35" borderId="50" xfId="57" applyFont="1" applyFill="1" applyBorder="1" applyAlignment="1">
      <alignment horizontal="center" vertical="center"/>
      <protection/>
    </xf>
    <xf numFmtId="0" fontId="2" fillId="35" borderId="49" xfId="57" applyFont="1" applyFill="1" applyBorder="1" applyAlignment="1">
      <alignment horizontal="center" vertical="center"/>
      <protection/>
    </xf>
    <xf numFmtId="2" fontId="6" fillId="0" borderId="50" xfId="67" applyNumberFormat="1" applyFont="1" applyBorder="1" applyAlignment="1">
      <alignment horizontal="center" vertical="center"/>
      <protection/>
    </xf>
    <xf numFmtId="2" fontId="6" fillId="0" borderId="48" xfId="67" applyNumberFormat="1" applyFont="1" applyBorder="1" applyAlignment="1">
      <alignment horizontal="center" vertical="center"/>
      <protection/>
    </xf>
    <xf numFmtId="0" fontId="2" fillId="35" borderId="19" xfId="55" applyFont="1" applyFill="1" applyBorder="1" applyAlignment="1">
      <alignment horizontal="center" vertical="center"/>
      <protection/>
    </xf>
    <xf numFmtId="0" fontId="2" fillId="35" borderId="17" xfId="55" applyFont="1" applyFill="1" applyBorder="1" applyAlignment="1">
      <alignment horizontal="center" vertical="center"/>
      <protection/>
    </xf>
    <xf numFmtId="0" fontId="2" fillId="35" borderId="18" xfId="57" applyFont="1" applyFill="1" applyBorder="1" applyAlignment="1">
      <alignment horizontal="center" vertical="center"/>
      <protection/>
    </xf>
    <xf numFmtId="0" fontId="2" fillId="35" borderId="17" xfId="57" applyFont="1" applyFill="1" applyBorder="1" applyAlignment="1">
      <alignment horizontal="center" vertical="center"/>
      <protection/>
    </xf>
    <xf numFmtId="2" fontId="6" fillId="0" borderId="18" xfId="67" applyNumberFormat="1" applyFont="1" applyBorder="1" applyAlignment="1">
      <alignment horizontal="center" vertical="center"/>
      <protection/>
    </xf>
    <xf numFmtId="2" fontId="6" fillId="0" borderId="19" xfId="67" applyNumberFormat="1" applyFont="1" applyBorder="1" applyAlignment="1">
      <alignment horizontal="center" vertical="center"/>
      <protection/>
    </xf>
    <xf numFmtId="0" fontId="13" fillId="0" borderId="0" xfId="67" applyFont="1" applyBorder="1" applyAlignment="1">
      <alignment horizontal="left" vertical="top" wrapText="1"/>
      <protection/>
    </xf>
    <xf numFmtId="0" fontId="2" fillId="35" borderId="18" xfId="62" applyFont="1" applyFill="1" applyBorder="1" applyAlignment="1">
      <alignment horizontal="center" vertical="center"/>
      <protection/>
    </xf>
    <xf numFmtId="0" fontId="2" fillId="35" borderId="17" xfId="62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2" fillId="0" borderId="18" xfId="62" applyFont="1" applyFill="1" applyBorder="1" applyAlignment="1">
      <alignment horizontal="center" vertical="center"/>
      <protection/>
    </xf>
    <xf numFmtId="0" fontId="2" fillId="0" borderId="17" xfId="62" applyFont="1" applyFill="1" applyBorder="1" applyAlignment="1">
      <alignment horizontal="center" vertical="center"/>
      <protection/>
    </xf>
    <xf numFmtId="0" fontId="5" fillId="0" borderId="0" xfId="67" applyFont="1" applyAlignment="1">
      <alignment horizontal="left"/>
      <protection/>
    </xf>
    <xf numFmtId="0" fontId="26" fillId="0" borderId="0" xfId="67" applyFont="1" applyAlignment="1">
      <alignment horizontal="center"/>
      <protection/>
    </xf>
    <xf numFmtId="0" fontId="10" fillId="0" borderId="10" xfId="67" applyFont="1" applyBorder="1" applyAlignment="1">
      <alignment horizontal="right"/>
      <protection/>
    </xf>
    <xf numFmtId="0" fontId="10" fillId="0" borderId="28" xfId="67" applyFont="1" applyBorder="1" applyAlignment="1">
      <alignment horizontal="center" vertical="center" wrapText="1"/>
      <protection/>
    </xf>
    <xf numFmtId="0" fontId="10" fillId="0" borderId="24" xfId="67" applyFont="1" applyBorder="1" applyAlignment="1">
      <alignment horizontal="center" vertical="center" wrapText="1"/>
      <protection/>
    </xf>
    <xf numFmtId="0" fontId="10" fillId="0" borderId="40" xfId="67" applyFont="1" applyBorder="1" applyAlignment="1">
      <alignment horizontal="center" vertical="center" wrapText="1"/>
      <protection/>
    </xf>
    <xf numFmtId="0" fontId="10" fillId="0" borderId="32" xfId="67" applyFont="1" applyBorder="1" applyAlignment="1">
      <alignment horizontal="center" vertical="center" wrapText="1"/>
      <protection/>
    </xf>
    <xf numFmtId="0" fontId="10" fillId="0" borderId="27" xfId="67" applyFont="1" applyBorder="1" applyAlignment="1">
      <alignment horizontal="center" vertical="center" wrapText="1"/>
      <protection/>
    </xf>
    <xf numFmtId="0" fontId="10" fillId="0" borderId="31" xfId="67" applyFont="1" applyBorder="1" applyAlignment="1">
      <alignment horizontal="center" vertical="center" wrapText="1"/>
      <protection/>
    </xf>
    <xf numFmtId="0" fontId="10" fillId="0" borderId="42" xfId="67" applyFont="1" applyBorder="1" applyAlignment="1">
      <alignment horizontal="center" vertical="center" wrapText="1"/>
      <protection/>
    </xf>
    <xf numFmtId="0" fontId="10" fillId="0" borderId="16" xfId="67" applyFont="1" applyBorder="1" applyAlignment="1">
      <alignment horizontal="center" vertical="center" wrapText="1"/>
      <protection/>
    </xf>
    <xf numFmtId="0" fontId="10" fillId="0" borderId="39" xfId="67" applyFont="1" applyBorder="1" applyAlignment="1">
      <alignment horizontal="center" vertical="center" wrapText="1"/>
      <protection/>
    </xf>
    <xf numFmtId="0" fontId="10" fillId="0" borderId="19" xfId="67" applyFont="1" applyBorder="1" applyAlignment="1">
      <alignment horizontal="center" vertical="center" wrapText="1"/>
      <protection/>
    </xf>
    <xf numFmtId="49" fontId="9" fillId="0" borderId="19" xfId="67" applyNumberFormat="1" applyFont="1" applyBorder="1" applyAlignment="1">
      <alignment horizontal="left" vertical="center" wrapText="1" indent="2"/>
      <protection/>
    </xf>
    <xf numFmtId="0" fontId="6" fillId="0" borderId="0" xfId="55" applyFont="1" applyFill="1" applyAlignment="1">
      <alignment horizontal="left" vertical="top" wrapText="1"/>
      <protection/>
    </xf>
    <xf numFmtId="0" fontId="10" fillId="0" borderId="0" xfId="55" applyFont="1" applyFill="1" applyAlignment="1">
      <alignment horizontal="left" vertical="center" wrapText="1"/>
      <protection/>
    </xf>
    <xf numFmtId="0" fontId="2" fillId="35" borderId="48" xfId="57" applyFont="1" applyFill="1" applyBorder="1" applyAlignment="1">
      <alignment horizontal="center" vertical="center"/>
      <protection/>
    </xf>
    <xf numFmtId="0" fontId="2" fillId="35" borderId="19" xfId="57" applyFont="1" applyFill="1" applyBorder="1" applyAlignment="1">
      <alignment horizontal="center" vertical="center"/>
      <protection/>
    </xf>
    <xf numFmtId="0" fontId="2" fillId="0" borderId="19" xfId="62" applyFont="1" applyFill="1" applyBorder="1" applyAlignment="1">
      <alignment horizontal="center" vertical="center"/>
      <protection/>
    </xf>
    <xf numFmtId="0" fontId="18" fillId="0" borderId="0" xfId="67" applyFont="1" applyBorder="1" applyAlignment="1">
      <alignment horizontal="left" vertical="top" wrapText="1"/>
      <protection/>
    </xf>
    <xf numFmtId="0" fontId="2" fillId="35" borderId="19" xfId="62" applyFont="1" applyFill="1" applyBorder="1" applyAlignment="1">
      <alignment horizontal="center" vertical="center"/>
      <protection/>
    </xf>
    <xf numFmtId="0" fontId="5" fillId="0" borderId="0" xfId="55" applyFont="1" applyAlignment="1">
      <alignment horizontal="center"/>
      <protection/>
    </xf>
    <xf numFmtId="0" fontId="31" fillId="0" borderId="0" xfId="55" applyFont="1" applyFill="1" applyAlignment="1">
      <alignment horizontal="center"/>
      <protection/>
    </xf>
    <xf numFmtId="0" fontId="28" fillId="0" borderId="0" xfId="55" applyFont="1" applyBorder="1" applyAlignment="1">
      <alignment horizontal="right"/>
      <protection/>
    </xf>
    <xf numFmtId="0" fontId="6" fillId="0" borderId="0" xfId="43" applyFont="1" applyAlignment="1" applyProtection="1">
      <alignment horizontal="center" vertical="center"/>
      <protection/>
    </xf>
    <xf numFmtId="0" fontId="6" fillId="0" borderId="28" xfId="55" applyFont="1" applyBorder="1" applyAlignment="1">
      <alignment horizontal="center" vertical="center" wrapText="1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40" xfId="55" applyFont="1" applyBorder="1" applyAlignment="1">
      <alignment horizontal="center" vertical="center" wrapText="1"/>
      <protection/>
    </xf>
    <xf numFmtId="0" fontId="6" fillId="0" borderId="32" xfId="55" applyFont="1" applyBorder="1" applyAlignment="1">
      <alignment horizontal="center" vertical="center" wrapText="1"/>
      <protection/>
    </xf>
    <xf numFmtId="0" fontId="6" fillId="0" borderId="27" xfId="55" applyFont="1" applyBorder="1" applyAlignment="1">
      <alignment horizontal="center" vertical="center" wrapText="1"/>
      <protection/>
    </xf>
    <xf numFmtId="0" fontId="6" fillId="0" borderId="31" xfId="55" applyFont="1" applyBorder="1" applyAlignment="1">
      <alignment horizontal="center" vertical="center" wrapText="1"/>
      <protection/>
    </xf>
    <xf numFmtId="0" fontId="6" fillId="0" borderId="42" xfId="55" applyFont="1" applyBorder="1" applyAlignment="1">
      <alignment horizontal="center" vertical="center" wrapText="1"/>
      <protection/>
    </xf>
    <xf numFmtId="0" fontId="6" fillId="0" borderId="16" xfId="55" applyFont="1" applyBorder="1" applyAlignment="1">
      <alignment horizontal="center" vertical="center" wrapText="1"/>
      <protection/>
    </xf>
    <xf numFmtId="0" fontId="6" fillId="0" borderId="40" xfId="55" applyNumberFormat="1" applyFont="1" applyBorder="1" applyAlignment="1">
      <alignment horizontal="center" vertical="center" wrapText="1"/>
      <protection/>
    </xf>
    <xf numFmtId="0" fontId="6" fillId="0" borderId="32" xfId="55" applyNumberFormat="1" applyFont="1" applyBorder="1" applyAlignment="1">
      <alignment horizontal="center" vertical="center"/>
      <protection/>
    </xf>
    <xf numFmtId="0" fontId="6" fillId="0" borderId="19" xfId="55" applyFont="1" applyBorder="1" applyAlignment="1">
      <alignment horizontal="center" vertical="center" wrapText="1"/>
      <protection/>
    </xf>
    <xf numFmtId="0" fontId="37" fillId="0" borderId="0" xfId="67" applyFont="1" applyBorder="1" applyAlignment="1">
      <alignment horizontal="center"/>
      <protection/>
    </xf>
    <xf numFmtId="0" fontId="6" fillId="43" borderId="51" xfId="67" applyFont="1" applyFill="1" applyBorder="1" applyAlignment="1">
      <alignment horizontal="center" vertical="center"/>
      <protection/>
    </xf>
    <xf numFmtId="0" fontId="6" fillId="43" borderId="47" xfId="67" applyFont="1" applyFill="1" applyBorder="1" applyAlignment="1">
      <alignment horizontal="center" vertical="center"/>
      <protection/>
    </xf>
    <xf numFmtId="0" fontId="6" fillId="43" borderId="37" xfId="67" applyFont="1" applyFill="1" applyBorder="1" applyAlignment="1">
      <alignment horizontal="center" vertical="center"/>
      <protection/>
    </xf>
    <xf numFmtId="0" fontId="2" fillId="0" borderId="32" xfId="67" applyFont="1" applyBorder="1" applyAlignment="1">
      <alignment horizontal="center" vertical="center"/>
      <protection/>
    </xf>
    <xf numFmtId="0" fontId="2" fillId="0" borderId="50" xfId="67" applyFont="1" applyBorder="1" applyAlignment="1">
      <alignment horizontal="center" vertical="center"/>
      <protection/>
    </xf>
    <xf numFmtId="0" fontId="2" fillId="0" borderId="48" xfId="67" applyFont="1" applyBorder="1" applyAlignment="1">
      <alignment horizontal="center" vertical="center"/>
      <protection/>
    </xf>
    <xf numFmtId="0" fontId="2" fillId="0" borderId="23" xfId="67" applyFont="1" applyBorder="1" applyAlignment="1">
      <alignment horizontal="center" vertical="center"/>
      <protection/>
    </xf>
    <xf numFmtId="0" fontId="2" fillId="0" borderId="18" xfId="67" applyFont="1" applyBorder="1" applyAlignment="1">
      <alignment horizontal="center" vertical="center"/>
      <protection/>
    </xf>
    <xf numFmtId="0" fontId="2" fillId="0" borderId="19" xfId="67" applyFont="1" applyBorder="1" applyAlignment="1">
      <alignment horizontal="center" vertical="center"/>
      <protection/>
    </xf>
    <xf numFmtId="0" fontId="25" fillId="0" borderId="0" xfId="55" applyFont="1" applyBorder="1" applyAlignment="1">
      <alignment horizontal="left"/>
      <protection/>
    </xf>
    <xf numFmtId="0" fontId="5" fillId="0" borderId="0" xfId="67" applyFont="1" applyAlignment="1">
      <alignment horizontal="center" vertical="top"/>
      <protection/>
    </xf>
    <xf numFmtId="0" fontId="6" fillId="0" borderId="0" xfId="67" applyFont="1" applyBorder="1" applyAlignment="1">
      <alignment horizontal="center"/>
      <protection/>
    </xf>
    <xf numFmtId="49" fontId="6" fillId="0" borderId="28" xfId="67" applyNumberFormat="1" applyFont="1" applyBorder="1" applyAlignment="1">
      <alignment horizontal="center" vertical="center" wrapText="1"/>
      <protection/>
    </xf>
    <xf numFmtId="49" fontId="6" fillId="0" borderId="24" xfId="67" applyNumberFormat="1" applyFont="1" applyBorder="1" applyAlignment="1">
      <alignment horizontal="center" vertical="center" wrapText="1"/>
      <protection/>
    </xf>
    <xf numFmtId="0" fontId="6" fillId="0" borderId="27" xfId="67" applyFont="1" applyBorder="1" applyAlignment="1">
      <alignment horizontal="left" vertical="center" wrapText="1" indent="1"/>
      <protection/>
    </xf>
    <xf numFmtId="0" fontId="6" fillId="0" borderId="31" xfId="67" applyFont="1" applyBorder="1" applyAlignment="1">
      <alignment horizontal="left" vertical="center" wrapText="1" indent="1"/>
      <protection/>
    </xf>
    <xf numFmtId="0" fontId="6" fillId="0" borderId="34" xfId="67" applyFont="1" applyBorder="1" applyAlignment="1">
      <alignment horizontal="left" vertical="center" wrapText="1" indent="1"/>
      <protection/>
    </xf>
    <xf numFmtId="0" fontId="6" fillId="0" borderId="27" xfId="67" applyFont="1" applyFill="1" applyBorder="1" applyAlignment="1">
      <alignment horizontal="left" vertical="center" wrapText="1" indent="1"/>
      <protection/>
    </xf>
    <xf numFmtId="0" fontId="6" fillId="0" borderId="34" xfId="67" applyFont="1" applyFill="1" applyBorder="1" applyAlignment="1">
      <alignment horizontal="left" vertical="center" wrapText="1" indent="1"/>
      <protection/>
    </xf>
    <xf numFmtId="173" fontId="6" fillId="0" borderId="39" xfId="67" applyNumberFormat="1" applyFont="1" applyFill="1" applyBorder="1" applyAlignment="1">
      <alignment horizontal="center" vertical="center" wrapText="1"/>
      <protection/>
    </xf>
    <xf numFmtId="0" fontId="6" fillId="0" borderId="31" xfId="67" applyFont="1" applyFill="1" applyBorder="1" applyAlignment="1">
      <alignment horizontal="left" vertical="center" wrapText="1" indent="1"/>
      <protection/>
    </xf>
    <xf numFmtId="0" fontId="18" fillId="0" borderId="0" xfId="67" applyFont="1" applyBorder="1" applyAlignment="1">
      <alignment horizontal="left"/>
      <protection/>
    </xf>
    <xf numFmtId="0" fontId="10" fillId="0" borderId="0" xfId="67" applyFont="1" applyBorder="1" applyAlignment="1">
      <alignment horizontal="left"/>
      <protection/>
    </xf>
    <xf numFmtId="0" fontId="44" fillId="0" borderId="0" xfId="56" applyFont="1" applyAlignment="1">
      <alignment horizontal="center"/>
      <protection/>
    </xf>
    <xf numFmtId="0" fontId="5" fillId="39" borderId="0" xfId="67" applyFont="1" applyFill="1" applyAlignment="1">
      <alignment horizontal="center" vertical="center"/>
      <protection/>
    </xf>
    <xf numFmtId="0" fontId="6" fillId="39" borderId="0" xfId="67" applyFont="1" applyFill="1" applyBorder="1" applyAlignment="1">
      <alignment horizontal="center" vertical="center"/>
      <protection/>
    </xf>
    <xf numFmtId="0" fontId="6" fillId="39" borderId="10" xfId="67" applyFont="1" applyFill="1" applyBorder="1" applyAlignment="1">
      <alignment horizontal="right"/>
      <protection/>
    </xf>
    <xf numFmtId="0" fontId="6" fillId="39" borderId="28" xfId="67" applyFont="1" applyFill="1" applyBorder="1" applyAlignment="1">
      <alignment horizontal="center" vertical="center" wrapText="1"/>
      <protection/>
    </xf>
    <xf numFmtId="0" fontId="8" fillId="39" borderId="24" xfId="60" applyFont="1" applyFill="1" applyBorder="1" applyAlignment="1">
      <alignment horizontal="center" vertical="center"/>
      <protection/>
    </xf>
    <xf numFmtId="0" fontId="6" fillId="39" borderId="42" xfId="67" applyFont="1" applyFill="1" applyBorder="1" applyAlignment="1">
      <alignment horizontal="center" vertical="center" wrapText="1"/>
      <protection/>
    </xf>
    <xf numFmtId="0" fontId="6" fillId="39" borderId="16" xfId="67" applyFont="1" applyFill="1" applyBorder="1" applyAlignment="1">
      <alignment horizontal="center" vertical="center" wrapText="1"/>
      <protection/>
    </xf>
    <xf numFmtId="0" fontId="6" fillId="39" borderId="24" xfId="67" applyFont="1" applyFill="1" applyBorder="1" applyAlignment="1">
      <alignment horizontal="center" vertical="center" wrapText="1"/>
      <protection/>
    </xf>
    <xf numFmtId="0" fontId="6" fillId="39" borderId="40" xfId="67" applyFont="1" applyFill="1" applyBorder="1" applyAlignment="1">
      <alignment horizontal="center" vertical="center" wrapText="1"/>
      <protection/>
    </xf>
    <xf numFmtId="0" fontId="6" fillId="39" borderId="32" xfId="67" applyFont="1" applyFill="1" applyBorder="1" applyAlignment="1">
      <alignment horizontal="center" vertical="center" wrapText="1"/>
      <protection/>
    </xf>
    <xf numFmtId="0" fontId="6" fillId="39" borderId="27" xfId="67" applyFont="1" applyFill="1" applyBorder="1" applyAlignment="1">
      <alignment horizontal="center" vertical="center" wrapText="1"/>
      <protection/>
    </xf>
    <xf numFmtId="0" fontId="6" fillId="39" borderId="31" xfId="67" applyFont="1" applyFill="1" applyBorder="1" applyAlignment="1">
      <alignment horizontal="center" vertical="center" wrapText="1"/>
      <protection/>
    </xf>
    <xf numFmtId="0" fontId="6" fillId="39" borderId="19" xfId="67" applyFont="1" applyFill="1" applyBorder="1" applyAlignment="1">
      <alignment horizontal="center" vertical="center" wrapText="1"/>
      <protection/>
    </xf>
    <xf numFmtId="0" fontId="99" fillId="39" borderId="19" xfId="60" applyFont="1" applyFill="1" applyBorder="1" applyAlignment="1">
      <alignment horizontal="left" vertical="center"/>
      <protection/>
    </xf>
    <xf numFmtId="49" fontId="42" fillId="39" borderId="19" xfId="67" applyNumberFormat="1" applyFont="1" applyFill="1" applyBorder="1" applyAlignment="1">
      <alignment horizontal="left" vertical="center" wrapText="1"/>
      <protection/>
    </xf>
    <xf numFmtId="0" fontId="33" fillId="39" borderId="28" xfId="60" applyFont="1" applyFill="1" applyBorder="1" applyAlignment="1">
      <alignment horizontal="left" vertical="center" wrapText="1" indent="1"/>
      <protection/>
    </xf>
    <xf numFmtId="0" fontId="33" fillId="39" borderId="24" xfId="60" applyFont="1" applyFill="1" applyBorder="1" applyAlignment="1">
      <alignment horizontal="left" vertical="center" wrapText="1" indent="1"/>
      <protection/>
    </xf>
    <xf numFmtId="49" fontId="6" fillId="39" borderId="28" xfId="67" applyNumberFormat="1" applyFont="1" applyFill="1" applyBorder="1" applyAlignment="1">
      <alignment horizontal="left" vertical="center" wrapText="1"/>
      <protection/>
    </xf>
    <xf numFmtId="49" fontId="6" fillId="39" borderId="24" xfId="67" applyNumberFormat="1" applyFont="1" applyFill="1" applyBorder="1" applyAlignment="1">
      <alignment horizontal="left" vertical="center" wrapText="1"/>
      <protection/>
    </xf>
    <xf numFmtId="49" fontId="6" fillId="0" borderId="28" xfId="67" applyNumberFormat="1" applyFont="1" applyFill="1" applyBorder="1" applyAlignment="1">
      <alignment horizontal="left" vertical="center" wrapText="1" indent="1"/>
      <protection/>
    </xf>
    <xf numFmtId="49" fontId="6" fillId="0" borderId="24" xfId="67" applyNumberFormat="1" applyFont="1" applyFill="1" applyBorder="1" applyAlignment="1">
      <alignment horizontal="left" vertical="center" wrapText="1" indent="1"/>
      <protection/>
    </xf>
    <xf numFmtId="49" fontId="6" fillId="39" borderId="28" xfId="67" applyNumberFormat="1" applyFont="1" applyFill="1" applyBorder="1" applyAlignment="1">
      <alignment horizontal="left" vertical="center" wrapText="1" indent="1"/>
      <protection/>
    </xf>
    <xf numFmtId="49" fontId="6" fillId="39" borderId="24" xfId="67" applyNumberFormat="1" applyFont="1" applyFill="1" applyBorder="1" applyAlignment="1">
      <alignment horizontal="left" vertical="center" wrapText="1" indent="1"/>
      <protection/>
    </xf>
    <xf numFmtId="0" fontId="18" fillId="39" borderId="0" xfId="67" applyFont="1" applyFill="1" applyBorder="1" applyAlignment="1">
      <alignment horizontal="left"/>
      <protection/>
    </xf>
    <xf numFmtId="0" fontId="10" fillId="39" borderId="0" xfId="67" applyFont="1" applyFill="1" applyBorder="1" applyAlignment="1">
      <alignment horizontal="left" vertical="center" wrapText="1"/>
      <protection/>
    </xf>
    <xf numFmtId="0" fontId="13" fillId="39" borderId="0" xfId="67" applyFont="1" applyFill="1" applyBorder="1" applyAlignment="1">
      <alignment horizontal="left" vertical="top" wrapText="1"/>
      <protection/>
    </xf>
    <xf numFmtId="0" fontId="8" fillId="0" borderId="24" xfId="60" applyFont="1" applyFill="1" applyBorder="1" applyAlignment="1">
      <alignment horizontal="center" vertical="center"/>
      <protection/>
    </xf>
    <xf numFmtId="0" fontId="33" fillId="0" borderId="28" xfId="60" applyFont="1" applyFill="1" applyBorder="1" applyAlignment="1">
      <alignment horizontal="left" vertical="center" wrapText="1" indent="1"/>
      <protection/>
    </xf>
    <xf numFmtId="0" fontId="33" fillId="0" borderId="44" xfId="60" applyFont="1" applyFill="1" applyBorder="1" applyAlignment="1">
      <alignment horizontal="left" vertical="center" wrapText="1" indent="1"/>
      <protection/>
    </xf>
    <xf numFmtId="0" fontId="33" fillId="0" borderId="24" xfId="60" applyFont="1" applyFill="1" applyBorder="1" applyAlignment="1">
      <alignment horizontal="left" vertical="center" wrapText="1" indent="1"/>
      <protection/>
    </xf>
    <xf numFmtId="49" fontId="6" fillId="0" borderId="44" xfId="67" applyNumberFormat="1" applyFont="1" applyFill="1" applyBorder="1" applyAlignment="1">
      <alignment horizontal="left" vertical="center" wrapText="1" inden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2 2 2" xfId="55"/>
    <cellStyle name="Обычный 2 2 2 2" xfId="56"/>
    <cellStyle name="Обычный 2 2 3" xfId="57"/>
    <cellStyle name="Обычный 2 3" xfId="58"/>
    <cellStyle name="Обычный 2 3 2" xfId="59"/>
    <cellStyle name="Обычный 2 4" xfId="60"/>
    <cellStyle name="Обычный 3" xfId="61"/>
    <cellStyle name="Обычный 3 2" xfId="62"/>
    <cellStyle name="Обычный 3 2 2" xfId="63"/>
    <cellStyle name="Обычный 3 2 3" xfId="64"/>
    <cellStyle name="Обычный 4" xfId="65"/>
    <cellStyle name="Обычный 6" xfId="66"/>
    <cellStyle name="Обычный_Terca (Финляндия)" xfId="67"/>
    <cellStyle name="Обычный_Кирпич CRH NL" xfId="68"/>
    <cellStyle name="Обычный_Сайдинг У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&#1042;&#1086;&#1076;&#1086;&#1089;&#1090;&#1086;&#1082;&#1080; Aquasystem'!A1" /><Relationship Id="rId3" Type="http://schemas.openxmlformats.org/officeDocument/2006/relationships/hyperlink" Target="#'&#1042;&#1086;&#1076;&#1086;&#1089;&#1090;&#1086;&#1082;&#1080; Aquasystem'!A1" /><Relationship Id="rId4" Type="http://schemas.openxmlformats.org/officeDocument/2006/relationships/image" Target="../media/image2.emf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6</xdr:row>
      <xdr:rowOff>133350</xdr:rowOff>
    </xdr:from>
    <xdr:to>
      <xdr:col>9</xdr:col>
      <xdr:colOff>76200</xdr:colOff>
      <xdr:row>9</xdr:row>
      <xdr:rowOff>38100</xdr:rowOff>
    </xdr:to>
    <xdr:pic>
      <xdr:nvPicPr>
        <xdr:cNvPr id="1" name="Picture 21" descr="http://www.nvkr.ru/vodostok/images/logo/aquasyste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1400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</xdr:colOff>
      <xdr:row>7</xdr:row>
      <xdr:rowOff>66675</xdr:rowOff>
    </xdr:from>
    <xdr:to>
      <xdr:col>5</xdr:col>
      <xdr:colOff>1524000</xdr:colOff>
      <xdr:row>10</xdr:row>
      <xdr:rowOff>28575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43025" y="1485900"/>
          <a:ext cx="1419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7</xdr:row>
      <xdr:rowOff>123825</xdr:rowOff>
    </xdr:from>
    <xdr:to>
      <xdr:col>9</xdr:col>
      <xdr:colOff>1552575</xdr:colOff>
      <xdr:row>10</xdr:row>
      <xdr:rowOff>19050</xdr:rowOff>
    </xdr:to>
    <xdr:pic>
      <xdr:nvPicPr>
        <xdr:cNvPr id="3" name="Picture 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286375" y="1543050"/>
          <a:ext cx="1352550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161925</xdr:colOff>
      <xdr:row>13</xdr:row>
      <xdr:rowOff>19050</xdr:rowOff>
    </xdr:from>
    <xdr:to>
      <xdr:col>8</xdr:col>
      <xdr:colOff>542925</xdr:colOff>
      <xdr:row>16</xdr:row>
      <xdr:rowOff>95250</xdr:rowOff>
    </xdr:to>
    <xdr:pic>
      <xdr:nvPicPr>
        <xdr:cNvPr id="4" name="Picture 35" descr="logo_feldhau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24200" y="2609850"/>
          <a:ext cx="1704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47625</xdr:rowOff>
    </xdr:from>
    <xdr:to>
      <xdr:col>12</xdr:col>
      <xdr:colOff>9525</xdr:colOff>
      <xdr:row>2</xdr:row>
      <xdr:rowOff>638175</xdr:rowOff>
    </xdr:to>
    <xdr:pic>
      <xdr:nvPicPr>
        <xdr:cNvPr id="5" name="Рисунок 11" descr="для ком. предложений basic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7650" y="133350"/>
          <a:ext cx="7439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533400</xdr:colOff>
      <xdr:row>5</xdr:row>
      <xdr:rowOff>0</xdr:rowOff>
    </xdr:from>
    <xdr:to>
      <xdr:col>12</xdr:col>
      <xdr:colOff>19050</xdr:colOff>
      <xdr:row>8</xdr:row>
      <xdr:rowOff>104775</xdr:rowOff>
    </xdr:to>
    <xdr:pic>
      <xdr:nvPicPr>
        <xdr:cNvPr id="1" name="Picture 35" descr="logo_feldha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085850"/>
          <a:ext cx="1314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3</xdr:row>
      <xdr:rowOff>676275</xdr:rowOff>
    </xdr:from>
    <xdr:to>
      <xdr:col>14</xdr:col>
      <xdr:colOff>647700</xdr:colOff>
      <xdr:row>6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1038225"/>
          <a:ext cx="1352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4</xdr:row>
      <xdr:rowOff>95250</xdr:rowOff>
    </xdr:from>
    <xdr:to>
      <xdr:col>15</xdr:col>
      <xdr:colOff>19050</xdr:colOff>
      <xdr:row>6</xdr:row>
      <xdr:rowOff>180975</xdr:rowOff>
    </xdr:to>
    <xdr:pic>
      <xdr:nvPicPr>
        <xdr:cNvPr id="1" name="Рисунок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667750" y="1238250"/>
          <a:ext cx="1200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400050</xdr:colOff>
      <xdr:row>4</xdr:row>
      <xdr:rowOff>47625</xdr:rowOff>
    </xdr:from>
    <xdr:to>
      <xdr:col>13</xdr:col>
      <xdr:colOff>9525</xdr:colOff>
      <xdr:row>5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114425"/>
          <a:ext cx="1285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4</xdr:row>
      <xdr:rowOff>19050</xdr:rowOff>
    </xdr:from>
    <xdr:to>
      <xdr:col>9</xdr:col>
      <xdr:colOff>142875</xdr:colOff>
      <xdr:row>6</xdr:row>
      <xdr:rowOff>76200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72250" y="914400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19050</xdr:colOff>
      <xdr:row>2</xdr:row>
      <xdr:rowOff>19050</xdr:rowOff>
    </xdr:from>
    <xdr:to>
      <xdr:col>2</xdr:col>
      <xdr:colOff>19050</xdr:colOff>
      <xdr:row>3</xdr:row>
      <xdr:rowOff>466725</xdr:rowOff>
    </xdr:to>
    <xdr:pic>
      <xdr:nvPicPr>
        <xdr:cNvPr id="2" name="Picture 5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" y="228600"/>
          <a:ext cx="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323850</xdr:colOff>
      <xdr:row>4</xdr:row>
      <xdr:rowOff>28575</xdr:rowOff>
    </xdr:from>
    <xdr:to>
      <xdr:col>11</xdr:col>
      <xdr:colOff>66675</xdr:colOff>
      <xdr:row>5</xdr:row>
      <xdr:rowOff>447675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10825" y="1095375"/>
          <a:ext cx="1190625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12</xdr:col>
      <xdr:colOff>9525</xdr:colOff>
      <xdr:row>5</xdr:row>
      <xdr:rowOff>0</xdr:rowOff>
    </xdr:to>
    <xdr:pic>
      <xdr:nvPicPr>
        <xdr:cNvPr id="2" name="Рисунок 3" descr="СИН-Q-все_1_ЦФО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09550"/>
          <a:ext cx="11458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!&#1055;&#1088;&#1072;&#1081;&#1089;&#1099;\1%20&#1052;&#1086;&#1089;&#1082;&#1074;&#1072;\8%20&#1042;&#1085;&#1091;&#1090;&#1088;&#1077;&#1085;&#1085;&#1080;&#1077;\&#1045;&#1074;&#1088;&#1086;%20&#1042;&#1089;&#1077;%20&#1058;&#1055;\&#1050;&#1080;&#1088;&#1087;&#1080;&#1095;%20&#1082;&#1083;&#1080;&#1085;&#1082;&#1077;&#1088;&#1085;&#1099;&#1081;%20&#1080;%20&#1088;&#1091;&#1095;&#1085;&#1086;&#1081;%20&#1092;&#1086;&#1088;&#1084;&#1086;&#1074;&#1082;&#1080;%20-%20&#1088;&#1072;&#1089;&#1095;&#1077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!&#1055;&#1088;&#1072;&#1081;&#1089;&#1099;\1%20&#1052;&#1086;&#1089;&#1082;&#1074;&#1072;\8%20&#1042;&#1085;&#1091;&#1090;&#1088;&#1077;&#1085;&#1085;&#1080;&#1077;\&#1055;&#1088;&#1072;&#1081;&#1089;-&#1083;&#1080;&#1089;&#1090;&#1099;%20&#1056;&#1040;&#1057;&#1063;&#1045;&#1058;\&#1050;&#1080;&#1088;&#1087;&#1080;&#1095;%20&#1082;&#1077;&#1088;&#1072;&#1084;&#1080;&#1095;&#1077;&#1089;&#1082;&#1080;&#1081;%20&#1080;&#1084;&#1087;&#1086;&#1088;&#1090;&#1085;&#1099;&#1081;%2008.02.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!&#1055;&#1088;&#1072;&#1081;&#1089;&#1099;\1%20&#1052;&#1086;&#1089;&#1082;&#1074;&#1072;\8%20&#1042;&#1085;&#1091;&#1090;&#1088;&#1077;&#1085;&#1085;&#1080;&#1077;\&#1045;&#1074;&#1088;&#1086;%20&#1042;&#1089;&#1077;%20&#1058;&#1055;\&#1052;&#1057;&#1050;\&#1050;&#1080;&#1088;&#1087;&#1080;&#1095;%20&#1086;&#1073;&#1083;&#1080;&#1094;&#1086;&#1074;&#1086;&#1095;&#1085;&#1099;&#1081;%20&#1088;&#1086;&#1089;&#1089;&#1080;&#1081;&#1089;&#1082;&#1080;&#1081;%2007.10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и"/>
      <sheetName val="Меню"/>
      <sheetName val="Кирпич Feldhaus Klinker"/>
      <sheetName val="Кирпич Feldhaus Klinker 30"/>
      <sheetName val="Кирпич Feldhaus Klinker 150"/>
      <sheetName val="Кирпич Feldhaus Klinker Строит"/>
      <sheetName val="Кирпич Feldhaus Klinker Спец"/>
      <sheetName val="Кирпич Feldhaus Klinker Д"/>
      <sheetName val="Кирпич Feldhaus Klinker Д1"/>
      <sheetName val="Кирпич Terca BEL-NL"/>
      <sheetName val="Кирпич Terca BEL-NL 30"/>
      <sheetName val="Кирпич Terca BEL-NL 150"/>
      <sheetName val="Кирпич Terca BEL-NL Строитель"/>
      <sheetName val="Кирпич Terca BEL-NL Спецпрайс"/>
      <sheetName val="Кирпич Terca BEL-NL Д"/>
      <sheetName val="Кирпич Terca BEL-NL Д1"/>
      <sheetName val="Кирпич Terca EST"/>
      <sheetName val="Кирпич Terca EST 30"/>
      <sheetName val="Кирпич Terca EST 150"/>
      <sheetName val="Кирпич Terca EST Строительный"/>
      <sheetName val="Кирпич Terca EST Спецпрайс"/>
      <sheetName val="Кирпич Terca EST Д"/>
      <sheetName val="Кирпич Terca EST Д1"/>
      <sheetName val="Кирпич Terca GER"/>
      <sheetName val="Кирпич Terca GER 30"/>
      <sheetName val="Кирпич Terca GER 150"/>
      <sheetName val="Кирпич Terca GER Строительный"/>
      <sheetName val="Кирпич Terca GER Спецпрайс"/>
      <sheetName val="Кирпич CRH PL"/>
      <sheetName val="Кирпич CRH PL 30"/>
      <sheetName val="Кирпич CRH PL 150"/>
      <sheetName val="Кирпич CRH PL Строительный"/>
      <sheetName val="Кирпич CRH PL Спецпрайс"/>
      <sheetName val="Кирпич Terca GER Д"/>
      <sheetName val="Кирпич Terca GER Д1"/>
      <sheetName val="Кирпич CRH NL"/>
      <sheetName val="Кирпич CRH NL 30"/>
      <sheetName val="Кирпич CRH NL 150"/>
      <sheetName val="Кирпич CRH NL Строительный"/>
      <sheetName val="Кирпич CRH NL Спецпрайс"/>
      <sheetName val="Кирпич CRH NL Д"/>
      <sheetName val="Кирпич CRH NL Д1"/>
    </sheetNames>
    <definedNames>
      <definedName name="Refresh"/>
      <definedName name="Выгрузить_архив"/>
      <definedName name="Выгрузить_прайсы"/>
      <definedName name="Выгрузить_прайсы_автоматически"/>
      <definedName name="Заполнить_имя_ячейки"/>
    </definedNames>
    <sheetDataSet>
      <sheetData sheetId="0">
        <row r="4">
          <cell r="B4">
            <v>43512</v>
          </cell>
          <cell r="C4">
            <v>43512</v>
          </cell>
          <cell r="D4">
            <v>43512</v>
          </cell>
          <cell r="E4">
            <v>43512</v>
          </cell>
          <cell r="F4">
            <v>43512</v>
          </cell>
          <cell r="G4">
            <v>43512</v>
          </cell>
        </row>
        <row r="21">
          <cell r="B21">
            <v>75.2492</v>
          </cell>
        </row>
        <row r="25">
          <cell r="C25">
            <v>1</v>
          </cell>
        </row>
        <row r="26">
          <cell r="C26">
            <v>6</v>
          </cell>
        </row>
        <row r="27">
          <cell r="C27">
            <v>5</v>
          </cell>
        </row>
        <row r="28">
          <cell r="C28">
            <v>12</v>
          </cell>
        </row>
        <row r="29">
          <cell r="C29">
            <v>14</v>
          </cell>
        </row>
        <row r="30">
          <cell r="C30">
            <v>20</v>
          </cell>
        </row>
        <row r="31">
          <cell r="C31">
            <v>21</v>
          </cell>
        </row>
        <row r="35">
          <cell r="B35">
            <v>2</v>
          </cell>
        </row>
        <row r="36">
          <cell r="B36">
            <v>3</v>
          </cell>
        </row>
        <row r="37">
          <cell r="B37">
            <v>4</v>
          </cell>
        </row>
        <row r="38">
          <cell r="B38">
            <v>5</v>
          </cell>
        </row>
        <row r="39">
          <cell r="B39">
            <v>6</v>
          </cell>
        </row>
        <row r="40">
          <cell r="B40">
            <v>7</v>
          </cell>
        </row>
        <row r="42">
          <cell r="B42" t="str">
            <v>L:\!Прайсы\1 Москва\1 Розничные\Кирпич клинкерный и ручной формовки.xls</v>
          </cell>
        </row>
        <row r="43">
          <cell r="B43" t="str">
            <v>L:\!Прайсы\1 Москва\2 Прайс 30\Кирпич клинкерный и ручной формовки 30.xls</v>
          </cell>
        </row>
        <row r="44">
          <cell r="B44" t="str">
            <v>L:\!Прайсы\1 Москва\3 Прайс 150\Кирпич клинкерный и ручной формовки 150.xls</v>
          </cell>
        </row>
        <row r="45">
          <cell r="B45" t="str">
            <v>L:\!Прайсы\1 Москва\4 Строительный\Кирпич клинкерный и ручной формовки Строительный.xls</v>
          </cell>
        </row>
        <row r="46">
          <cell r="B46" t="str">
            <v>L:\!Прайсы\1 Москва\5 Спецпрайс\Кирпич клинкерный и ручной формовки Спецпрайс.xls</v>
          </cell>
        </row>
        <row r="50">
          <cell r="B50" t="str">
            <v>L:\!Прайсы\temp\Архив прайс-листов\1 Москва Архив\1 Розничные\Кирпич Feldhaus архив.xls</v>
          </cell>
        </row>
        <row r="51">
          <cell r="B51" t="str">
            <v>L:\!Прайсы\temp\Архив прайс-листов\1 Москва Архив\2 Прайс 30\Кирпич Feldhaus 30 архив.xls</v>
          </cell>
        </row>
        <row r="52">
          <cell r="B52" t="str">
            <v>L:\!Прайсы\temp\Архив прайс-листов\1 Москва Архив\3 Прайс 150\Кирпич Feldhaus 150 архив.xls</v>
          </cell>
        </row>
        <row r="53">
          <cell r="B53" t="str">
            <v>L:\!Прайсы\temp\Архив прайс-листов\1 Москва Архив\4 Дилерский архив\Кирпич Feldhaus Дилерский архив.xls</v>
          </cell>
        </row>
        <row r="54">
          <cell r="B54" t="str">
            <v>L:\!Прайсы\temp\Архив прайс-листов\1 Москва Архив\5 Спецпрайс архив\Кирпич Feldhaus Спецпрайс архив.xls</v>
          </cell>
        </row>
        <row r="56">
          <cell r="B56" t="str">
            <v>L:\!Прайсы\temp\Архив прайс-листов\1 Москва Архив\1 Розничные\Кирпич Terca архив.xls</v>
          </cell>
        </row>
        <row r="57">
          <cell r="B57" t="str">
            <v>L:\!Прайсы\temp\Архив прайс-листов\1 Москва Архив\2 Прайс 30\Кирпич Terca 30 архив.xls</v>
          </cell>
        </row>
        <row r="58">
          <cell r="B58" t="str">
            <v>L:\!Прайсы\temp\Архив прайс-листов\1 Москва Архив\3 Прайс 150\Кирпич Terca 150 архив.xls</v>
          </cell>
        </row>
        <row r="59">
          <cell r="B59" t="str">
            <v>L:\!Прайсы\temp\Архив прайс-листов\1 Москва Архив\4 Дилерский архив\Кирпич Terca Дилерский архив.xls</v>
          </cell>
        </row>
        <row r="60">
          <cell r="B60" t="str">
            <v>L:\!Прайсы\temp\Архив прайс-листов\1 Москва Архив\5 Спецпрайс архив\Кирпич Terca Спецпрайс архив.xls</v>
          </cell>
        </row>
        <row r="62">
          <cell r="B62" t="str">
            <v>L:\!Прайсы\temp\Архив прайс-листов\1 Москва Архив\1 Розничные\Кирпич Terca (Германия) архив.xls</v>
          </cell>
        </row>
        <row r="63">
          <cell r="B63" t="str">
            <v>L:\!Прайсы\temp\Архив прайс-листов\1 Москва Архив\2 Прайс 30\Кирпич Terca (Германия) 30 архив.xls</v>
          </cell>
        </row>
        <row r="64">
          <cell r="B64" t="str">
            <v>L:\!Прайсы\temp\Архив прайс-листов\1 Москва Архив\3 Прайс 150\Кирпич Terca (Германия) 150 архив.xls</v>
          </cell>
        </row>
        <row r="65">
          <cell r="B65" t="str">
            <v>L:\!Прайсы\temp\Архив прайс-листов\1 Москва Архив\4 Дилерский архив\Кирпич Terca (Германия) Дилерский архив.xls</v>
          </cell>
        </row>
        <row r="66">
          <cell r="B66" t="str">
            <v>L:\!Прайсы\temp\Архив прайс-листов\1 Москва Архив\5 Спецпрайс архив\Кирпич Terca (Германия) Спецпрайс архив.xls</v>
          </cell>
        </row>
        <row r="68">
          <cell r="B68" t="str">
            <v>L:\!Прайсы\temp\Архив прайс-листов\1 Москва Архив\1 Розничные\Кирпич CRH Польша архив.xls</v>
          </cell>
        </row>
        <row r="69">
          <cell r="B69" t="str">
            <v>L:\!Прайсы\temp\Архив прайс-листов\1 Москва Архив\2 Прайс 30\Кирпич CRH Польша 30 архив.xls</v>
          </cell>
        </row>
        <row r="70">
          <cell r="B70" t="str">
            <v>L:\!Прайсы\temp\Архив прайс-листов\1 Москва Архив\3 Прайс 150\Кирпич CRH Польша 150 архив.xls</v>
          </cell>
        </row>
        <row r="71">
          <cell r="B71" t="str">
            <v>L:\!Прайсы\temp\Архив прайс-листов\1 Москва Архив\4 Дилерский архив\Кирпич CRH Польша Дилерский архив.xls</v>
          </cell>
        </row>
        <row r="72">
          <cell r="B72" t="str">
            <v>L:\!Прайсы\temp\Архив прайс-листов\1 Москва Архив\5 Спецпрайс архив\Кирпич CRH Польша Спецпрайс архив.xls</v>
          </cell>
        </row>
        <row r="74">
          <cell r="B74" t="str">
            <v>L:\!Прайсы\temp\Архив прайс-листов\1 Москва Архив\1 Розничные\Кирпич CRH архив.xls</v>
          </cell>
        </row>
        <row r="75">
          <cell r="B75" t="str">
            <v>L:\!Прайсы\temp\Архив прайс-листов\1 Москва Архив\2 Прайс 30\Кирпич CRH 30 архив.xls</v>
          </cell>
        </row>
        <row r="76">
          <cell r="B76" t="str">
            <v>L:\!Прайсы\temp\Архив прайс-листов\1 Москва Архив\3 Прайс 150\Кирпич CRH 150 архив.xls</v>
          </cell>
        </row>
        <row r="77">
          <cell r="B77" t="str">
            <v>L:\!Прайсы\temp\Архив прайс-листов\1 Москва Архив\4 Дилерский архив\Кирпич CRH Дилерский архив.xls</v>
          </cell>
        </row>
        <row r="78">
          <cell r="B78" t="str">
            <v>L:\!Прайсы\temp\Архив прайс-листов\1 Москва Архив\5 Спецпрайс архив\Кирпич CRH Спецпрайс архив.xls</v>
          </cell>
        </row>
        <row r="80">
          <cell r="B80" t="str">
            <v>L:\!Прайсы\temp\Архив прайс-листов\1 Москва Архив\1 Розничные\Кирпич Terca Клинкер (Эстония) архив.xls</v>
          </cell>
        </row>
        <row r="81">
          <cell r="B81" t="str">
            <v>L:\!Прайсы\temp\Архив прайс-листов\1 Москва Архив\2 Прайс 30\Кирпич Terca Клинкер (Эстония) 30 архив.xls</v>
          </cell>
        </row>
        <row r="82">
          <cell r="B82" t="str">
            <v>L:\!Прайсы\temp\Архив прайс-листов\1 Москва Архив\3 Прайс 150\Кирпич Terca Клинкер (Эстония) 150 архив.xls</v>
          </cell>
        </row>
        <row r="83">
          <cell r="B83" t="str">
            <v>L:\!Прайсы\temp\Архив прайс-листов\1 Москва Архив\4 Дилерский архив\Кирпич Terca Клинкер (Эстония) Дилерский архив.xls</v>
          </cell>
        </row>
        <row r="84">
          <cell r="B84" t="str">
            <v>L:\!Прайсы\temp\Архив прайс-листов\1 Москва Архив\5 Спецпрайс архив\Кирпич Terca Клинкер (Эстония) Спецпрайс архив.xls</v>
          </cell>
        </row>
        <row r="182">
          <cell r="D182">
            <v>588366</v>
          </cell>
        </row>
        <row r="184">
          <cell r="D184">
            <v>132467</v>
          </cell>
        </row>
        <row r="185">
          <cell r="D185">
            <v>132469</v>
          </cell>
        </row>
        <row r="186">
          <cell r="D186">
            <v>169169</v>
          </cell>
        </row>
        <row r="187">
          <cell r="D187">
            <v>132090</v>
          </cell>
        </row>
        <row r="188">
          <cell r="D188">
            <v>132471</v>
          </cell>
        </row>
        <row r="189">
          <cell r="D189">
            <v>130103</v>
          </cell>
        </row>
        <row r="190">
          <cell r="D190">
            <v>132473</v>
          </cell>
        </row>
        <row r="191">
          <cell r="D191">
            <v>132496</v>
          </cell>
        </row>
        <row r="192">
          <cell r="D192">
            <v>132475</v>
          </cell>
        </row>
        <row r="193">
          <cell r="D193">
            <v>132477</v>
          </cell>
        </row>
        <row r="195">
          <cell r="D195">
            <v>132481</v>
          </cell>
        </row>
        <row r="196">
          <cell r="D196">
            <v>132483</v>
          </cell>
        </row>
        <row r="197">
          <cell r="D197">
            <v>421984</v>
          </cell>
        </row>
        <row r="198">
          <cell r="D198">
            <v>421983</v>
          </cell>
        </row>
        <row r="199">
          <cell r="D199">
            <v>132499</v>
          </cell>
        </row>
        <row r="201">
          <cell r="D201">
            <v>132501</v>
          </cell>
        </row>
        <row r="202">
          <cell r="D202">
            <v>132500</v>
          </cell>
        </row>
        <row r="203">
          <cell r="D203">
            <v>148088</v>
          </cell>
        </row>
        <row r="210">
          <cell r="D210">
            <v>548220</v>
          </cell>
        </row>
        <row r="211">
          <cell r="D211">
            <v>548219</v>
          </cell>
        </row>
        <row r="212">
          <cell r="D212">
            <v>132512</v>
          </cell>
        </row>
        <row r="213">
          <cell r="D213">
            <v>130118</v>
          </cell>
        </row>
        <row r="215">
          <cell r="D215">
            <v>132513</v>
          </cell>
        </row>
        <row r="216">
          <cell r="D216">
            <v>132517</v>
          </cell>
        </row>
        <row r="217">
          <cell r="D217">
            <v>134950</v>
          </cell>
        </row>
        <row r="218">
          <cell r="D218">
            <v>169083</v>
          </cell>
        </row>
        <row r="220">
          <cell r="D220">
            <v>592130</v>
          </cell>
        </row>
        <row r="221">
          <cell r="D221">
            <v>592135</v>
          </cell>
        </row>
        <row r="222">
          <cell r="D222">
            <v>592137</v>
          </cell>
        </row>
        <row r="223">
          <cell r="D223">
            <v>592138</v>
          </cell>
        </row>
        <row r="224">
          <cell r="D224">
            <v>592139</v>
          </cell>
        </row>
        <row r="225">
          <cell r="D225">
            <v>592140</v>
          </cell>
        </row>
        <row r="229">
          <cell r="D229">
            <v>608714</v>
          </cell>
        </row>
        <row r="230">
          <cell r="D230">
            <v>608713</v>
          </cell>
        </row>
        <row r="231">
          <cell r="D231">
            <v>608711</v>
          </cell>
        </row>
        <row r="232">
          <cell r="D232">
            <v>614681</v>
          </cell>
        </row>
        <row r="233">
          <cell r="D233">
            <v>613327</v>
          </cell>
        </row>
        <row r="234">
          <cell r="D234">
            <v>614455</v>
          </cell>
        </row>
        <row r="235">
          <cell r="D235">
            <v>613331</v>
          </cell>
        </row>
        <row r="236">
          <cell r="D236">
            <v>613335</v>
          </cell>
        </row>
        <row r="237">
          <cell r="D237">
            <v>613343</v>
          </cell>
        </row>
        <row r="238">
          <cell r="D238">
            <v>635098</v>
          </cell>
        </row>
        <row r="239">
          <cell r="D239">
            <v>635101</v>
          </cell>
        </row>
        <row r="240">
          <cell r="D240">
            <v>635108</v>
          </cell>
        </row>
        <row r="241">
          <cell r="D241">
            <v>635109</v>
          </cell>
        </row>
        <row r="243">
          <cell r="D243">
            <v>608715</v>
          </cell>
        </row>
        <row r="250">
          <cell r="D250">
            <v>179284</v>
          </cell>
        </row>
        <row r="252">
          <cell r="D252">
            <v>179292</v>
          </cell>
        </row>
        <row r="253">
          <cell r="D253">
            <v>179289</v>
          </cell>
        </row>
        <row r="254">
          <cell r="D254">
            <v>179288</v>
          </cell>
        </row>
        <row r="258">
          <cell r="D258">
            <v>179286</v>
          </cell>
        </row>
        <row r="260">
          <cell r="D260">
            <v>179282</v>
          </cell>
        </row>
        <row r="262">
          <cell r="D262">
            <v>179279</v>
          </cell>
        </row>
        <row r="263">
          <cell r="D263">
            <v>609631</v>
          </cell>
        </row>
        <row r="266">
          <cell r="D266">
            <v>592682</v>
          </cell>
        </row>
        <row r="267">
          <cell r="D267">
            <v>609630</v>
          </cell>
        </row>
        <row r="270">
          <cell r="D270">
            <v>184951</v>
          </cell>
        </row>
        <row r="274">
          <cell r="D274">
            <v>184953</v>
          </cell>
        </row>
        <row r="275">
          <cell r="D275">
            <v>184954</v>
          </cell>
        </row>
        <row r="277">
          <cell r="D277">
            <v>184955</v>
          </cell>
        </row>
        <row r="278">
          <cell r="D278">
            <v>184956</v>
          </cell>
        </row>
        <row r="280">
          <cell r="D280">
            <v>184958</v>
          </cell>
        </row>
        <row r="282">
          <cell r="D282">
            <v>184960</v>
          </cell>
        </row>
        <row r="285">
          <cell r="D285">
            <v>179290</v>
          </cell>
        </row>
        <row r="286">
          <cell r="D286">
            <v>184949</v>
          </cell>
        </row>
        <row r="287">
          <cell r="D287">
            <v>576999</v>
          </cell>
        </row>
        <row r="288">
          <cell r="D288">
            <v>576625</v>
          </cell>
        </row>
        <row r="292">
          <cell r="D292">
            <v>634497</v>
          </cell>
        </row>
        <row r="293">
          <cell r="D293">
            <v>634539</v>
          </cell>
        </row>
        <row r="294">
          <cell r="D294">
            <v>634495</v>
          </cell>
        </row>
        <row r="295">
          <cell r="D295">
            <v>634494</v>
          </cell>
        </row>
        <row r="296">
          <cell r="D296">
            <v>634493</v>
          </cell>
        </row>
        <row r="297">
          <cell r="D297">
            <v>596590</v>
          </cell>
        </row>
        <row r="298">
          <cell r="D298">
            <v>596591</v>
          </cell>
        </row>
        <row r="299">
          <cell r="D299">
            <v>596589</v>
          </cell>
        </row>
        <row r="300">
          <cell r="D300">
            <v>596564</v>
          </cell>
        </row>
        <row r="302">
          <cell r="D302">
            <v>634528</v>
          </cell>
        </row>
        <row r="303">
          <cell r="D303">
            <v>634509</v>
          </cell>
        </row>
        <row r="304">
          <cell r="D304">
            <v>634514</v>
          </cell>
        </row>
        <row r="305">
          <cell r="D305">
            <v>634527</v>
          </cell>
        </row>
        <row r="306">
          <cell r="D306">
            <v>634513</v>
          </cell>
        </row>
        <row r="307">
          <cell r="D307">
            <v>634508</v>
          </cell>
        </row>
        <row r="308">
          <cell r="D308">
            <v>634506</v>
          </cell>
        </row>
        <row r="309">
          <cell r="D309">
            <v>634507</v>
          </cell>
        </row>
        <row r="310">
          <cell r="D310">
            <v>634525</v>
          </cell>
        </row>
        <row r="311">
          <cell r="D311">
            <v>634538</v>
          </cell>
        </row>
        <row r="312">
          <cell r="D312">
            <v>634529</v>
          </cell>
        </row>
        <row r="313">
          <cell r="D313">
            <v>634532</v>
          </cell>
        </row>
        <row r="314">
          <cell r="D314">
            <v>634533</v>
          </cell>
        </row>
        <row r="315">
          <cell r="D315">
            <v>634530</v>
          </cell>
        </row>
        <row r="316">
          <cell r="D316">
            <v>634531</v>
          </cell>
        </row>
        <row r="317">
          <cell r="D317">
            <v>634526</v>
          </cell>
        </row>
        <row r="318">
          <cell r="D318">
            <v>596586</v>
          </cell>
        </row>
        <row r="319">
          <cell r="D319">
            <v>595637</v>
          </cell>
        </row>
        <row r="320">
          <cell r="D320">
            <v>596580</v>
          </cell>
        </row>
        <row r="321">
          <cell r="D321">
            <v>596585</v>
          </cell>
        </row>
        <row r="322">
          <cell r="D322">
            <v>596577</v>
          </cell>
        </row>
        <row r="323">
          <cell r="D323">
            <v>596574</v>
          </cell>
        </row>
        <row r="324">
          <cell r="D324">
            <v>596572</v>
          </cell>
        </row>
        <row r="325">
          <cell r="D325">
            <v>596573</v>
          </cell>
        </row>
        <row r="326">
          <cell r="D326">
            <v>595638</v>
          </cell>
        </row>
        <row r="327">
          <cell r="D327">
            <v>596642</v>
          </cell>
        </row>
        <row r="328">
          <cell r="D328">
            <v>642215</v>
          </cell>
        </row>
        <row r="329">
          <cell r="D329">
            <v>596645</v>
          </cell>
        </row>
        <row r="330">
          <cell r="D330">
            <v>596655</v>
          </cell>
        </row>
        <row r="331">
          <cell r="D331">
            <v>596581</v>
          </cell>
        </row>
        <row r="353">
          <cell r="D353">
            <v>634482</v>
          </cell>
        </row>
        <row r="354">
          <cell r="D354">
            <v>179285</v>
          </cell>
        </row>
        <row r="355">
          <cell r="D355">
            <v>634767</v>
          </cell>
        </row>
        <row r="356">
          <cell r="D356">
            <v>634480</v>
          </cell>
        </row>
        <row r="357">
          <cell r="D357">
            <v>634478</v>
          </cell>
        </row>
        <row r="358">
          <cell r="D358">
            <v>634485</v>
          </cell>
        </row>
        <row r="359">
          <cell r="D359">
            <v>634486</v>
          </cell>
        </row>
        <row r="362">
          <cell r="D362">
            <v>634484</v>
          </cell>
        </row>
        <row r="366">
          <cell r="D366">
            <v>634483</v>
          </cell>
        </row>
        <row r="367">
          <cell r="D367">
            <v>634481</v>
          </cell>
        </row>
        <row r="368">
          <cell r="D368">
            <v>586952</v>
          </cell>
        </row>
        <row r="369">
          <cell r="D369">
            <v>634489</v>
          </cell>
        </row>
        <row r="370">
          <cell r="D370">
            <v>634487</v>
          </cell>
        </row>
        <row r="371">
          <cell r="D371">
            <v>634488</v>
          </cell>
        </row>
        <row r="372">
          <cell r="D372">
            <v>634479</v>
          </cell>
        </row>
        <row r="374">
          <cell r="D374">
            <v>304256</v>
          </cell>
        </row>
        <row r="375">
          <cell r="D375">
            <v>184952</v>
          </cell>
        </row>
        <row r="376">
          <cell r="D376">
            <v>596556</v>
          </cell>
        </row>
        <row r="377">
          <cell r="D377">
            <v>596557</v>
          </cell>
        </row>
        <row r="378">
          <cell r="D378">
            <v>596569</v>
          </cell>
        </row>
        <row r="379">
          <cell r="D379">
            <v>596571</v>
          </cell>
        </row>
        <row r="381">
          <cell r="D381">
            <v>596566</v>
          </cell>
        </row>
        <row r="383">
          <cell r="D383">
            <v>595631</v>
          </cell>
        </row>
        <row r="384">
          <cell r="D384">
            <v>596558</v>
          </cell>
        </row>
        <row r="385">
          <cell r="D385">
            <v>595633</v>
          </cell>
        </row>
        <row r="386">
          <cell r="D386">
            <v>596653</v>
          </cell>
        </row>
        <row r="387">
          <cell r="D387">
            <v>596649</v>
          </cell>
        </row>
        <row r="388">
          <cell r="D388">
            <v>596651</v>
          </cell>
        </row>
        <row r="391">
          <cell r="D391">
            <v>634477</v>
          </cell>
        </row>
        <row r="392">
          <cell r="D392">
            <v>634471</v>
          </cell>
        </row>
        <row r="393">
          <cell r="D393">
            <v>634472</v>
          </cell>
        </row>
        <row r="394">
          <cell r="D394">
            <v>634473</v>
          </cell>
        </row>
        <row r="395">
          <cell r="D395">
            <v>634474</v>
          </cell>
        </row>
        <row r="396">
          <cell r="D396">
            <v>634475</v>
          </cell>
        </row>
        <row r="399">
          <cell r="D399">
            <v>634470</v>
          </cell>
        </row>
        <row r="400">
          <cell r="D400">
            <v>634476</v>
          </cell>
        </row>
        <row r="401">
          <cell r="D401">
            <v>595634</v>
          </cell>
        </row>
        <row r="402">
          <cell r="D402">
            <v>304257</v>
          </cell>
        </row>
        <row r="403">
          <cell r="D403">
            <v>595628</v>
          </cell>
        </row>
        <row r="404">
          <cell r="D404">
            <v>596575</v>
          </cell>
        </row>
        <row r="405">
          <cell r="D405">
            <v>596576</v>
          </cell>
        </row>
        <row r="407">
          <cell r="D407">
            <v>595625</v>
          </cell>
        </row>
        <row r="408">
          <cell r="D408">
            <v>596643</v>
          </cell>
        </row>
        <row r="410">
          <cell r="D410">
            <v>634568</v>
          </cell>
        </row>
        <row r="411">
          <cell r="D411">
            <v>634548</v>
          </cell>
        </row>
        <row r="412">
          <cell r="D412">
            <v>634544</v>
          </cell>
        </row>
        <row r="413">
          <cell r="D413">
            <v>634543</v>
          </cell>
        </row>
        <row r="414">
          <cell r="D414">
            <v>634549</v>
          </cell>
        </row>
        <row r="415">
          <cell r="D415">
            <v>634567</v>
          </cell>
        </row>
        <row r="416">
          <cell r="D416">
            <v>634557</v>
          </cell>
        </row>
        <row r="417">
          <cell r="D417">
            <v>634556</v>
          </cell>
        </row>
        <row r="418">
          <cell r="D418">
            <v>634555</v>
          </cell>
        </row>
        <row r="419">
          <cell r="D419">
            <v>634550</v>
          </cell>
        </row>
        <row r="420">
          <cell r="D420">
            <v>605564</v>
          </cell>
        </row>
        <row r="421">
          <cell r="D421">
            <v>634551</v>
          </cell>
        </row>
        <row r="422">
          <cell r="D422">
            <v>634558</v>
          </cell>
        </row>
        <row r="423">
          <cell r="D423">
            <v>634561</v>
          </cell>
        </row>
        <row r="424">
          <cell r="D424">
            <v>634560</v>
          </cell>
        </row>
        <row r="425">
          <cell r="D425">
            <v>634562</v>
          </cell>
        </row>
        <row r="426">
          <cell r="D426">
            <v>634559</v>
          </cell>
        </row>
        <row r="427">
          <cell r="D427">
            <v>634563</v>
          </cell>
        </row>
        <row r="428">
          <cell r="D428">
            <v>596623</v>
          </cell>
        </row>
        <row r="429">
          <cell r="D429">
            <v>596594</v>
          </cell>
        </row>
        <row r="430">
          <cell r="D430">
            <v>596593</v>
          </cell>
        </row>
        <row r="431">
          <cell r="D431">
            <v>596592</v>
          </cell>
        </row>
        <row r="432">
          <cell r="D432">
            <v>596595</v>
          </cell>
        </row>
        <row r="433">
          <cell r="D433">
            <v>596621</v>
          </cell>
        </row>
        <row r="434">
          <cell r="D434">
            <v>614688</v>
          </cell>
        </row>
        <row r="435">
          <cell r="D435">
            <v>596599</v>
          </cell>
        </row>
        <row r="436">
          <cell r="D436">
            <v>596588</v>
          </cell>
        </row>
        <row r="437">
          <cell r="D437">
            <v>596600</v>
          </cell>
        </row>
        <row r="438">
          <cell r="D438">
            <v>596612</v>
          </cell>
        </row>
        <row r="439">
          <cell r="D439">
            <v>596617</v>
          </cell>
        </row>
        <row r="440">
          <cell r="D440">
            <v>596616</v>
          </cell>
        </row>
        <row r="441">
          <cell r="D441">
            <v>596618</v>
          </cell>
        </row>
        <row r="442">
          <cell r="D442">
            <v>596615</v>
          </cell>
        </row>
        <row r="443">
          <cell r="D443">
            <v>596620</v>
          </cell>
        </row>
        <row r="445">
          <cell r="D445">
            <v>634504</v>
          </cell>
        </row>
        <row r="446">
          <cell r="D446">
            <v>634503</v>
          </cell>
        </row>
        <row r="447">
          <cell r="D447">
            <v>634505</v>
          </cell>
        </row>
        <row r="448">
          <cell r="D448">
            <v>179298</v>
          </cell>
        </row>
        <row r="449">
          <cell r="D449">
            <v>596596</v>
          </cell>
        </row>
        <row r="450">
          <cell r="D450">
            <v>595629</v>
          </cell>
        </row>
        <row r="451">
          <cell r="D451">
            <v>596619</v>
          </cell>
        </row>
        <row r="452">
          <cell r="D452">
            <v>635123</v>
          </cell>
        </row>
        <row r="456">
          <cell r="D456">
            <v>593364</v>
          </cell>
        </row>
        <row r="457">
          <cell r="D457">
            <v>593365</v>
          </cell>
        </row>
        <row r="458">
          <cell r="D458">
            <v>608733</v>
          </cell>
        </row>
        <row r="459">
          <cell r="D459">
            <v>608734</v>
          </cell>
        </row>
        <row r="463">
          <cell r="C463">
            <v>634421</v>
          </cell>
        </row>
        <row r="466">
          <cell r="C466">
            <v>634431</v>
          </cell>
        </row>
        <row r="467">
          <cell r="C467">
            <v>634432</v>
          </cell>
        </row>
        <row r="471">
          <cell r="C471">
            <v>634435</v>
          </cell>
        </row>
        <row r="472">
          <cell r="C472">
            <v>634436</v>
          </cell>
        </row>
        <row r="473">
          <cell r="C473">
            <v>634437</v>
          </cell>
        </row>
        <row r="474">
          <cell r="C474">
            <v>634438</v>
          </cell>
        </row>
        <row r="476">
          <cell r="C476">
            <v>611716</v>
          </cell>
        </row>
        <row r="483">
          <cell r="F483">
            <v>187284</v>
          </cell>
        </row>
        <row r="484">
          <cell r="F484">
            <v>536972</v>
          </cell>
        </row>
        <row r="485">
          <cell r="F485">
            <v>152665</v>
          </cell>
        </row>
        <row r="486">
          <cell r="F486">
            <v>152613</v>
          </cell>
        </row>
        <row r="487">
          <cell r="F487">
            <v>530157</v>
          </cell>
        </row>
        <row r="488">
          <cell r="F488">
            <v>152591</v>
          </cell>
        </row>
        <row r="489">
          <cell r="F489">
            <v>175158</v>
          </cell>
        </row>
        <row r="491">
          <cell r="F491">
            <v>609301</v>
          </cell>
        </row>
        <row r="492">
          <cell r="F492">
            <v>152703</v>
          </cell>
        </row>
        <row r="493">
          <cell r="F493">
            <v>152626</v>
          </cell>
        </row>
        <row r="494">
          <cell r="F494">
            <v>609308</v>
          </cell>
        </row>
        <row r="495">
          <cell r="F495">
            <v>609307</v>
          </cell>
        </row>
        <row r="496">
          <cell r="F496">
            <v>152627</v>
          </cell>
        </row>
        <row r="497">
          <cell r="F497">
            <v>152704</v>
          </cell>
        </row>
        <row r="498">
          <cell r="F498">
            <v>152628</v>
          </cell>
        </row>
        <row r="499">
          <cell r="F499">
            <v>609309</v>
          </cell>
        </row>
        <row r="500">
          <cell r="F500">
            <v>152705</v>
          </cell>
        </row>
        <row r="501">
          <cell r="F501">
            <v>152629</v>
          </cell>
        </row>
        <row r="502">
          <cell r="F502">
            <v>609311</v>
          </cell>
        </row>
        <row r="503">
          <cell r="F503">
            <v>609310</v>
          </cell>
        </row>
        <row r="505">
          <cell r="F505">
            <v>152714</v>
          </cell>
        </row>
        <row r="507">
          <cell r="F507">
            <v>152715</v>
          </cell>
        </row>
        <row r="508">
          <cell r="F508">
            <v>152722</v>
          </cell>
        </row>
        <row r="511">
          <cell r="F511">
            <v>152717</v>
          </cell>
        </row>
        <row r="535">
          <cell r="F535">
            <v>609302</v>
          </cell>
        </row>
        <row r="536">
          <cell r="F536">
            <v>152623</v>
          </cell>
        </row>
        <row r="537">
          <cell r="F537">
            <v>420594</v>
          </cell>
        </row>
        <row r="538">
          <cell r="F538">
            <v>609304</v>
          </cell>
        </row>
        <row r="539">
          <cell r="F539">
            <v>152624</v>
          </cell>
        </row>
        <row r="545">
          <cell r="F545">
            <v>152706</v>
          </cell>
        </row>
        <row r="546">
          <cell r="F546">
            <v>524681</v>
          </cell>
        </row>
        <row r="547">
          <cell r="F547">
            <v>152631</v>
          </cell>
        </row>
        <row r="549">
          <cell r="F549">
            <v>152632</v>
          </cell>
        </row>
        <row r="550">
          <cell r="F550">
            <v>177891</v>
          </cell>
        </row>
        <row r="551">
          <cell r="F551">
            <v>152707</v>
          </cell>
        </row>
        <row r="552">
          <cell r="F552">
            <v>152596</v>
          </cell>
        </row>
        <row r="553">
          <cell r="F553">
            <v>153012</v>
          </cell>
        </row>
        <row r="556">
          <cell r="F556">
            <v>153011</v>
          </cell>
        </row>
        <row r="561">
          <cell r="F561">
            <v>609299</v>
          </cell>
        </row>
        <row r="562">
          <cell r="F562">
            <v>152664</v>
          </cell>
        </row>
        <row r="563">
          <cell r="F563">
            <v>152608</v>
          </cell>
        </row>
        <row r="564">
          <cell r="F564">
            <v>572645</v>
          </cell>
        </row>
        <row r="567">
          <cell r="F567">
            <v>609300</v>
          </cell>
        </row>
        <row r="568">
          <cell r="F568">
            <v>152615</v>
          </cell>
        </row>
        <row r="573">
          <cell r="F573">
            <v>152620</v>
          </cell>
        </row>
        <row r="574">
          <cell r="F574">
            <v>536971</v>
          </cell>
        </row>
        <row r="575">
          <cell r="F575">
            <v>152666</v>
          </cell>
        </row>
        <row r="576">
          <cell r="F576">
            <v>152621</v>
          </cell>
        </row>
        <row r="578">
          <cell r="F578">
            <v>152701</v>
          </cell>
        </row>
        <row r="579">
          <cell r="F579">
            <v>152622</v>
          </cell>
        </row>
        <row r="580">
          <cell r="F580">
            <v>200808</v>
          </cell>
        </row>
        <row r="581">
          <cell r="F581">
            <v>152702</v>
          </cell>
        </row>
        <row r="582">
          <cell r="F582">
            <v>152625</v>
          </cell>
        </row>
        <row r="583">
          <cell r="F583">
            <v>152713</v>
          </cell>
        </row>
        <row r="590">
          <cell r="F590">
            <v>152606</v>
          </cell>
        </row>
        <row r="593">
          <cell r="F593">
            <v>152605</v>
          </cell>
        </row>
        <row r="594">
          <cell r="F594">
            <v>409739</v>
          </cell>
        </row>
        <row r="602">
          <cell r="F602">
            <v>548073</v>
          </cell>
        </row>
        <row r="604">
          <cell r="F604">
            <v>532069</v>
          </cell>
        </row>
        <row r="607">
          <cell r="F607">
            <v>544057</v>
          </cell>
        </row>
        <row r="614">
          <cell r="F614">
            <v>549712</v>
          </cell>
        </row>
        <row r="616">
          <cell r="F616">
            <v>549722</v>
          </cell>
        </row>
        <row r="617">
          <cell r="F617">
            <v>421888</v>
          </cell>
        </row>
        <row r="618">
          <cell r="F618">
            <v>549725</v>
          </cell>
        </row>
        <row r="621">
          <cell r="F621">
            <v>548058</v>
          </cell>
        </row>
        <row r="622">
          <cell r="F622">
            <v>549726</v>
          </cell>
        </row>
        <row r="623">
          <cell r="F623">
            <v>306225</v>
          </cell>
        </row>
        <row r="625">
          <cell r="F625">
            <v>422558</v>
          </cell>
        </row>
        <row r="626">
          <cell r="F626">
            <v>306047</v>
          </cell>
        </row>
        <row r="628">
          <cell r="F628">
            <v>422559</v>
          </cell>
        </row>
        <row r="636">
          <cell r="F636">
            <v>536750</v>
          </cell>
        </row>
        <row r="638">
          <cell r="F638">
            <v>548067</v>
          </cell>
        </row>
        <row r="639">
          <cell r="F639">
            <v>540128</v>
          </cell>
        </row>
        <row r="641">
          <cell r="F641">
            <v>422560</v>
          </cell>
        </row>
        <row r="648">
          <cell r="F648">
            <v>548069</v>
          </cell>
        </row>
        <row r="650">
          <cell r="F650">
            <v>601315</v>
          </cell>
        </row>
        <row r="651">
          <cell r="F651">
            <v>152827</v>
          </cell>
        </row>
        <row r="652">
          <cell r="F652">
            <v>595421</v>
          </cell>
        </row>
        <row r="653">
          <cell r="F653">
            <v>152828</v>
          </cell>
        </row>
        <row r="659">
          <cell r="F659">
            <v>572703</v>
          </cell>
        </row>
        <row r="661">
          <cell r="F661">
            <v>548057</v>
          </cell>
        </row>
        <row r="671">
          <cell r="F671">
            <v>152609</v>
          </cell>
        </row>
        <row r="672">
          <cell r="F672">
            <v>159642</v>
          </cell>
        </row>
        <row r="673">
          <cell r="F673">
            <v>652947</v>
          </cell>
        </row>
        <row r="674">
          <cell r="F674">
            <v>652941</v>
          </cell>
        </row>
        <row r="675">
          <cell r="F675">
            <v>652940</v>
          </cell>
        </row>
        <row r="676">
          <cell r="F676">
            <v>612517</v>
          </cell>
        </row>
        <row r="677">
          <cell r="F677">
            <v>652951</v>
          </cell>
        </row>
        <row r="678">
          <cell r="F678">
            <v>652957</v>
          </cell>
        </row>
        <row r="679">
          <cell r="F679">
            <v>652963</v>
          </cell>
        </row>
        <row r="680">
          <cell r="F680">
            <v>652965</v>
          </cell>
        </row>
        <row r="681">
          <cell r="F681">
            <v>652926</v>
          </cell>
        </row>
        <row r="685">
          <cell r="E685">
            <v>185018</v>
          </cell>
        </row>
        <row r="686">
          <cell r="E686">
            <v>179299</v>
          </cell>
        </row>
        <row r="687">
          <cell r="E687">
            <v>185010</v>
          </cell>
        </row>
        <row r="688">
          <cell r="E688">
            <v>185012</v>
          </cell>
        </row>
        <row r="689">
          <cell r="E689">
            <v>572113</v>
          </cell>
        </row>
        <row r="690">
          <cell r="E690">
            <v>185008</v>
          </cell>
        </row>
        <row r="691">
          <cell r="E691">
            <v>185014</v>
          </cell>
        </row>
        <row r="692">
          <cell r="E692">
            <v>173292</v>
          </cell>
        </row>
        <row r="693">
          <cell r="E693">
            <v>173296</v>
          </cell>
        </row>
        <row r="694">
          <cell r="E694">
            <v>173291</v>
          </cell>
        </row>
        <row r="695">
          <cell r="E695">
            <v>185009</v>
          </cell>
        </row>
        <row r="696">
          <cell r="E696">
            <v>173294</v>
          </cell>
        </row>
        <row r="697">
          <cell r="E697">
            <v>572114</v>
          </cell>
        </row>
        <row r="698">
          <cell r="E698">
            <v>173295</v>
          </cell>
        </row>
        <row r="699">
          <cell r="E699">
            <v>173293</v>
          </cell>
        </row>
        <row r="700">
          <cell r="E700">
            <v>562807</v>
          </cell>
        </row>
        <row r="702">
          <cell r="E702">
            <v>185017</v>
          </cell>
        </row>
        <row r="703">
          <cell r="E703">
            <v>185019</v>
          </cell>
        </row>
        <row r="704">
          <cell r="E704">
            <v>185006</v>
          </cell>
        </row>
        <row r="705">
          <cell r="E705">
            <v>185011</v>
          </cell>
        </row>
        <row r="706">
          <cell r="E706">
            <v>185013</v>
          </cell>
        </row>
        <row r="707">
          <cell r="E707">
            <v>572115</v>
          </cell>
        </row>
        <row r="708">
          <cell r="E708">
            <v>185007</v>
          </cell>
        </row>
        <row r="709">
          <cell r="E709">
            <v>185015</v>
          </cell>
        </row>
        <row r="710">
          <cell r="E710">
            <v>572116</v>
          </cell>
        </row>
        <row r="715">
          <cell r="E715">
            <v>185477</v>
          </cell>
        </row>
        <row r="716">
          <cell r="E716">
            <v>185475</v>
          </cell>
        </row>
        <row r="717">
          <cell r="E717">
            <v>572136</v>
          </cell>
        </row>
        <row r="718">
          <cell r="E718">
            <v>572124</v>
          </cell>
        </row>
        <row r="719">
          <cell r="E719">
            <v>185513</v>
          </cell>
        </row>
        <row r="720">
          <cell r="E720">
            <v>572120</v>
          </cell>
        </row>
        <row r="721">
          <cell r="E721">
            <v>179303</v>
          </cell>
        </row>
        <row r="723">
          <cell r="E723">
            <v>185514</v>
          </cell>
        </row>
        <row r="724">
          <cell r="E724">
            <v>572121</v>
          </cell>
        </row>
        <row r="725">
          <cell r="E725">
            <v>173306</v>
          </cell>
        </row>
        <row r="726">
          <cell r="E726">
            <v>572126</v>
          </cell>
        </row>
        <row r="727">
          <cell r="E727">
            <v>185515</v>
          </cell>
        </row>
        <row r="728">
          <cell r="E728">
            <v>572122</v>
          </cell>
        </row>
        <row r="729">
          <cell r="E729">
            <v>185512</v>
          </cell>
        </row>
        <row r="731">
          <cell r="E731">
            <v>185029</v>
          </cell>
        </row>
        <row r="732">
          <cell r="E732">
            <v>185039</v>
          </cell>
        </row>
        <row r="733">
          <cell r="E733">
            <v>572130</v>
          </cell>
        </row>
        <row r="734">
          <cell r="E734">
            <v>572127</v>
          </cell>
        </row>
        <row r="735">
          <cell r="E735">
            <v>185025</v>
          </cell>
        </row>
        <row r="736">
          <cell r="E736">
            <v>572021</v>
          </cell>
        </row>
        <row r="737">
          <cell r="E737">
            <v>185483</v>
          </cell>
        </row>
        <row r="738">
          <cell r="E738">
            <v>173299</v>
          </cell>
        </row>
        <row r="739">
          <cell r="E739">
            <v>185036</v>
          </cell>
        </row>
        <row r="740">
          <cell r="E740">
            <v>572131</v>
          </cell>
        </row>
        <row r="741">
          <cell r="E741">
            <v>572128</v>
          </cell>
        </row>
        <row r="742">
          <cell r="E742">
            <v>173302</v>
          </cell>
        </row>
        <row r="743">
          <cell r="E743">
            <v>572019</v>
          </cell>
        </row>
        <row r="744">
          <cell r="E744">
            <v>173288</v>
          </cell>
        </row>
        <row r="745">
          <cell r="E745">
            <v>185031</v>
          </cell>
        </row>
        <row r="746">
          <cell r="E746">
            <v>185040</v>
          </cell>
        </row>
        <row r="747">
          <cell r="E747">
            <v>572132</v>
          </cell>
        </row>
        <row r="748">
          <cell r="E748">
            <v>572129</v>
          </cell>
        </row>
        <row r="749">
          <cell r="E749">
            <v>185027</v>
          </cell>
        </row>
        <row r="750">
          <cell r="E750">
            <v>572020</v>
          </cell>
        </row>
        <row r="751">
          <cell r="E751">
            <v>185045</v>
          </cell>
        </row>
        <row r="752">
          <cell r="E752">
            <v>185482</v>
          </cell>
        </row>
        <row r="754">
          <cell r="E754">
            <v>185481</v>
          </cell>
        </row>
        <row r="755">
          <cell r="E755">
            <v>185660</v>
          </cell>
        </row>
        <row r="756">
          <cell r="E756">
            <v>540502</v>
          </cell>
        </row>
        <row r="757">
          <cell r="E757">
            <v>185486</v>
          </cell>
        </row>
        <row r="758">
          <cell r="E758">
            <v>185052</v>
          </cell>
        </row>
        <row r="760">
          <cell r="E760">
            <v>572177</v>
          </cell>
        </row>
        <row r="761">
          <cell r="E761">
            <v>572175</v>
          </cell>
        </row>
        <row r="762">
          <cell r="E762">
            <v>173304</v>
          </cell>
        </row>
        <row r="763">
          <cell r="E763">
            <v>562808</v>
          </cell>
        </row>
        <row r="764">
          <cell r="E764">
            <v>173308</v>
          </cell>
        </row>
        <row r="765">
          <cell r="E765">
            <v>572173</v>
          </cell>
        </row>
        <row r="766">
          <cell r="E766">
            <v>572172</v>
          </cell>
        </row>
        <row r="767">
          <cell r="E767">
            <v>173297</v>
          </cell>
        </row>
        <row r="768">
          <cell r="E768">
            <v>562806</v>
          </cell>
        </row>
        <row r="770">
          <cell r="E770">
            <v>185048</v>
          </cell>
        </row>
        <row r="771">
          <cell r="E771">
            <v>572135</v>
          </cell>
        </row>
        <row r="772">
          <cell r="E772">
            <v>185493</v>
          </cell>
        </row>
        <row r="773">
          <cell r="E773">
            <v>185051</v>
          </cell>
        </row>
        <row r="776">
          <cell r="E776">
            <v>185498</v>
          </cell>
        </row>
        <row r="777">
          <cell r="E777">
            <v>185487</v>
          </cell>
        </row>
        <row r="778">
          <cell r="E778">
            <v>185497</v>
          </cell>
        </row>
        <row r="779">
          <cell r="E779">
            <v>185504</v>
          </cell>
        </row>
        <row r="780">
          <cell r="E780">
            <v>185495</v>
          </cell>
        </row>
        <row r="781">
          <cell r="E781">
            <v>185061</v>
          </cell>
        </row>
        <row r="782">
          <cell r="E782">
            <v>185059</v>
          </cell>
        </row>
        <row r="783">
          <cell r="E783">
            <v>179304</v>
          </cell>
        </row>
        <row r="784">
          <cell r="E784">
            <v>173286</v>
          </cell>
        </row>
        <row r="785">
          <cell r="E785">
            <v>173287</v>
          </cell>
        </row>
        <row r="786">
          <cell r="E786">
            <v>173307</v>
          </cell>
        </row>
        <row r="787">
          <cell r="E787">
            <v>185063</v>
          </cell>
        </row>
        <row r="788">
          <cell r="E788">
            <v>185064</v>
          </cell>
        </row>
        <row r="789">
          <cell r="E789">
            <v>185505</v>
          </cell>
        </row>
        <row r="790">
          <cell r="E790">
            <v>572137</v>
          </cell>
        </row>
        <row r="791">
          <cell r="E791">
            <v>572138</v>
          </cell>
        </row>
        <row r="792">
          <cell r="E792">
            <v>572139</v>
          </cell>
        </row>
        <row r="837">
          <cell r="E837">
            <v>131654</v>
          </cell>
        </row>
        <row r="838">
          <cell r="E838">
            <v>131666</v>
          </cell>
        </row>
        <row r="842">
          <cell r="E842">
            <v>551685</v>
          </cell>
        </row>
        <row r="850">
          <cell r="E850">
            <v>160596</v>
          </cell>
        </row>
        <row r="851">
          <cell r="E851">
            <v>150400</v>
          </cell>
        </row>
        <row r="852">
          <cell r="E852">
            <v>150429</v>
          </cell>
        </row>
        <row r="855">
          <cell r="E855">
            <v>160597</v>
          </cell>
        </row>
        <row r="856">
          <cell r="E856">
            <v>150447</v>
          </cell>
        </row>
        <row r="860">
          <cell r="E860">
            <v>580552</v>
          </cell>
        </row>
        <row r="868">
          <cell r="E868">
            <v>150413</v>
          </cell>
        </row>
        <row r="870">
          <cell r="E870">
            <v>300464</v>
          </cell>
        </row>
        <row r="871">
          <cell r="E871">
            <v>580553</v>
          </cell>
        </row>
        <row r="876">
          <cell r="E876">
            <v>549761</v>
          </cell>
        </row>
        <row r="877">
          <cell r="E877">
            <v>547993</v>
          </cell>
        </row>
        <row r="878">
          <cell r="E878">
            <v>551687</v>
          </cell>
        </row>
        <row r="891">
          <cell r="E891">
            <v>150456</v>
          </cell>
        </row>
        <row r="898">
          <cell r="E898">
            <v>581918</v>
          </cell>
        </row>
        <row r="899">
          <cell r="E899">
            <v>580546</v>
          </cell>
        </row>
        <row r="905">
          <cell r="E905">
            <v>150455</v>
          </cell>
        </row>
        <row r="924">
          <cell r="E924">
            <v>579454</v>
          </cell>
        </row>
        <row r="926">
          <cell r="E926">
            <v>551514</v>
          </cell>
        </row>
        <row r="935">
          <cell r="E935">
            <v>131650</v>
          </cell>
        </row>
        <row r="936">
          <cell r="E936">
            <v>160512</v>
          </cell>
        </row>
        <row r="937">
          <cell r="E937">
            <v>131648</v>
          </cell>
        </row>
        <row r="938">
          <cell r="E938">
            <v>551513</v>
          </cell>
        </row>
        <row r="939">
          <cell r="E939">
            <v>551515</v>
          </cell>
        </row>
        <row r="940">
          <cell r="E940">
            <v>131644</v>
          </cell>
        </row>
        <row r="942">
          <cell r="E942">
            <v>150453</v>
          </cell>
        </row>
        <row r="954">
          <cell r="E954">
            <v>150498</v>
          </cell>
        </row>
        <row r="957">
          <cell r="E957">
            <v>150500</v>
          </cell>
        </row>
        <row r="958">
          <cell r="E958">
            <v>150502</v>
          </cell>
        </row>
        <row r="964">
          <cell r="E964">
            <v>423340</v>
          </cell>
        </row>
        <row r="965">
          <cell r="E965">
            <v>608897</v>
          </cell>
        </row>
        <row r="969">
          <cell r="E969">
            <v>608908</v>
          </cell>
        </row>
        <row r="970">
          <cell r="E970">
            <v>608909</v>
          </cell>
        </row>
        <row r="972">
          <cell r="E972">
            <v>608911</v>
          </cell>
        </row>
        <row r="975">
          <cell r="E975">
            <v>608915</v>
          </cell>
        </row>
        <row r="982">
          <cell r="E982">
            <v>679853</v>
          </cell>
        </row>
        <row r="983">
          <cell r="E983">
            <v>645141</v>
          </cell>
        </row>
        <row r="984">
          <cell r="E984">
            <v>645143</v>
          </cell>
        </row>
        <row r="985">
          <cell r="E985">
            <v>645146</v>
          </cell>
        </row>
        <row r="986">
          <cell r="E986">
            <v>679852</v>
          </cell>
        </row>
        <row r="987">
          <cell r="E987">
            <v>645142</v>
          </cell>
        </row>
        <row r="988">
          <cell r="E988">
            <v>653772</v>
          </cell>
        </row>
        <row r="989">
          <cell r="E989">
            <v>679854</v>
          </cell>
        </row>
        <row r="992">
          <cell r="E992">
            <v>548278</v>
          </cell>
        </row>
        <row r="993">
          <cell r="E993">
            <v>555177</v>
          </cell>
        </row>
        <row r="994">
          <cell r="E994">
            <v>528089</v>
          </cell>
        </row>
        <row r="995">
          <cell r="E995">
            <v>159885</v>
          </cell>
        </row>
        <row r="996">
          <cell r="E996">
            <v>174542</v>
          </cell>
        </row>
        <row r="997">
          <cell r="E997">
            <v>174505</v>
          </cell>
        </row>
      </sheetData>
      <sheetData sheetId="2">
        <row r="140">
          <cell r="C140" t="str">
            <v>В нашем ассортименте также представлены материалы:</v>
          </cell>
        </row>
        <row r="141">
          <cell r="C141" t="str">
            <v>металлочерепица; гибкая черепица; керамическая черепица; цементно-песчаная черепица; кровельный сланец; кровельная медь; кровельный алюминий;</v>
          </cell>
        </row>
        <row r="142">
          <cell r="C142" t="str">
            <v>титан-цинк; сталь для фальцевой кровли; композитная черепица; ондулин; медные, стальные, алюминиевые и пластиковые водостоки;</v>
          </cell>
        </row>
        <row r="143">
          <cell r="C143" t="str">
            <v>виниловый сайдинг; облицовочный и тротуарный кирпич; облицовочная плитка "под кирпич"; кладочные растворы; штукатурные фасады;</v>
          </cell>
        </row>
        <row r="144">
          <cell r="C144" t="str">
            <v>дымоходные системы; гидроизоляция; пароизоляция; утеплители; мансардные окна.</v>
          </cell>
        </row>
        <row r="145">
          <cell r="C145" t="str">
            <v>Подробную информацию о всех материалах можно узнать на сайте www.unikma.ru.</v>
          </cell>
        </row>
      </sheetData>
      <sheetData sheetId="9">
        <row r="92">
          <cell r="C92" t="str">
            <v>В нашем ассортименте также представлены материалы:</v>
          </cell>
        </row>
        <row r="93">
          <cell r="C93" t="str">
            <v>металлочерепица; гибкая черепица; керамическая черепица; цементно-песчаная черепица; кровельный сланец; кровельная медь; кровельный алюминий;</v>
          </cell>
        </row>
        <row r="94">
          <cell r="C94" t="str">
            <v>титан-цинк; сталь для фальцевой кровли; композитная черепица; ондулин; медные, стальные, алюминиевые и пластиковые водостоки;</v>
          </cell>
        </row>
        <row r="95">
          <cell r="C95" t="str">
            <v>виниловый сайдинг; облицовочный и тротуарный кирпич; облицовочная плитка "под кирпич"; кладочные растворы; штукатурные фасады;</v>
          </cell>
        </row>
        <row r="96">
          <cell r="C96" t="str">
            <v>дымоходные системы; гидроизоляция; пароизоляция; утеплители; мансардные окна.</v>
          </cell>
        </row>
        <row r="97">
          <cell r="C97" t="str">
            <v>Подробную информацию о всех материалах можно узнать на сайте www.unikma.ru.</v>
          </cell>
        </row>
      </sheetData>
      <sheetData sheetId="23">
        <row r="90">
          <cell r="C90" t="str">
            <v>В нашем ассортименте также представлены материалы:</v>
          </cell>
        </row>
        <row r="91">
          <cell r="C91" t="str">
            <v>металлочерепица; гибкая черепица; керамическая черепица; цементно-песчаная черепица; кровельный сланец; кровельная медь; кровельный алюминий;</v>
          </cell>
        </row>
        <row r="92">
          <cell r="C92" t="str">
            <v>титан-цинк; сталь для фальцевой кровли; композитная черепица; ондулин; медные, стальные, алюминиевые и пластиковые водостоки;</v>
          </cell>
        </row>
        <row r="93">
          <cell r="C93" t="str">
            <v>виниловый сайдинг; облицовочный и тротуарный кирпич; облицовочная плитка "под кирпич"; кладочные растворы; штукатурные фасады;</v>
          </cell>
        </row>
        <row r="94">
          <cell r="C94" t="str">
            <v>дымоходные системы; гидроизоляция; пароизоляция; утеплители; мансардные окна.</v>
          </cell>
        </row>
        <row r="95">
          <cell r="C95" t="str">
            <v>Подробную информацию о всех материалах можно узнать на сайте www.unikma.ru.</v>
          </cell>
        </row>
      </sheetData>
      <sheetData sheetId="28">
        <row r="146">
          <cell r="C146" t="str">
            <v>В нашем ассортименте также представлены материалы:</v>
          </cell>
        </row>
        <row r="147">
          <cell r="C147" t="str">
            <v>металлочерепица; гибкая черепица; керамическая черепица; цементно-песчаная черепица; кровельный сланец; кровельная медь; кровельный алюминий;</v>
          </cell>
        </row>
        <row r="148">
          <cell r="C148" t="str">
            <v>титан-цинк; сталь для фальцевой кровли; композитная черепица; ондулин; медные, стальные, алюминиевые и пластиковые водостоки;</v>
          </cell>
        </row>
        <row r="149">
          <cell r="C149" t="str">
            <v>виниловый сайдинг; облицовочный и тротуарный кирпич; облицовочная плитка "под кирпич"; кладочные растворы; штукатурные фасады;</v>
          </cell>
        </row>
        <row r="150">
          <cell r="C150" t="str">
            <v>дымоходные системы; гидроизоляция; пароизоляция; утеплители; мансардные окна.</v>
          </cell>
        </row>
        <row r="151">
          <cell r="C151" t="str">
            <v>Подробную информацию о всех материалах можно узнать на сайте www.unikma.ru.</v>
          </cell>
        </row>
      </sheetData>
      <sheetData sheetId="35">
        <row r="210">
          <cell r="C210" t="str">
            <v>В нашем ассортименте также представлены материалы:</v>
          </cell>
        </row>
        <row r="211">
          <cell r="C211" t="str">
            <v>металлочерепица; гибкая черепица; керамическая черепица; цементно-песчаная черепица; кровельный сланец; кровельная медь; кровельный алюминий;</v>
          </cell>
        </row>
        <row r="212">
          <cell r="C212" t="str">
            <v>титан-цинк; сталь для фальцевой кровли; композитная черепица; ондулин; медные, стальные, алюминиевые и пластиковые водостоки;</v>
          </cell>
        </row>
        <row r="213">
          <cell r="C213" t="str">
            <v>виниловый сайдинг; облицовочный и тротуарный кирпич; облицовочная плитка "под кирпич"; кладочные растворы; штукатурные фасады;</v>
          </cell>
        </row>
        <row r="214">
          <cell r="C214" t="str">
            <v>дымоходные системы; гидроизоляция; пароизоляция; утеплители; мансардные окна.</v>
          </cell>
        </row>
        <row r="215">
          <cell r="C215" t="str">
            <v>Подробную информацию о всех материалах можно узнать на сайте www.unikma.ru.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и"/>
      <sheetName val="Terca (Эстония)"/>
      <sheetName val="Terca (Эстония) 30"/>
      <sheetName val="Terca (Эстония) 150"/>
      <sheetName val="Terca (Эстония) Строительный"/>
      <sheetName val="Terca (Эстония) Спецпрайс"/>
    </sheetNames>
    <sheetDataSet>
      <sheetData sheetId="0">
        <row r="6">
          <cell r="C6">
            <v>42774</v>
          </cell>
        </row>
        <row r="164">
          <cell r="C164">
            <v>149162</v>
          </cell>
        </row>
        <row r="165">
          <cell r="C165">
            <v>149166</v>
          </cell>
        </row>
        <row r="167">
          <cell r="C167">
            <v>126912</v>
          </cell>
        </row>
        <row r="168">
          <cell r="C168">
            <v>126913</v>
          </cell>
        </row>
        <row r="169">
          <cell r="C169">
            <v>134921</v>
          </cell>
        </row>
        <row r="178">
          <cell r="C178">
            <v>132590</v>
          </cell>
        </row>
        <row r="180">
          <cell r="C180">
            <v>130155</v>
          </cell>
        </row>
        <row r="182">
          <cell r="C182">
            <v>132592</v>
          </cell>
        </row>
        <row r="185">
          <cell r="C185">
            <v>135834</v>
          </cell>
        </row>
        <row r="186">
          <cell r="C186">
            <v>179675</v>
          </cell>
        </row>
        <row r="187">
          <cell r="C187">
            <v>609762</v>
          </cell>
        </row>
        <row r="189">
          <cell r="C189">
            <v>152291</v>
          </cell>
        </row>
        <row r="191">
          <cell r="C191">
            <v>179689</v>
          </cell>
        </row>
        <row r="194">
          <cell r="C194">
            <v>149232</v>
          </cell>
        </row>
        <row r="198">
          <cell r="C198">
            <v>149237</v>
          </cell>
        </row>
        <row r="200">
          <cell r="C200">
            <v>152129</v>
          </cell>
        </row>
        <row r="201">
          <cell r="C201">
            <v>179698</v>
          </cell>
        </row>
        <row r="202">
          <cell r="C202">
            <v>526224</v>
          </cell>
        </row>
        <row r="203">
          <cell r="C203">
            <v>153162</v>
          </cell>
        </row>
        <row r="204">
          <cell r="C204">
            <v>526229</v>
          </cell>
        </row>
        <row r="205">
          <cell r="C205">
            <v>153204</v>
          </cell>
        </row>
        <row r="206">
          <cell r="C206">
            <v>152130</v>
          </cell>
        </row>
        <row r="207">
          <cell r="C207">
            <v>135833</v>
          </cell>
        </row>
        <row r="208">
          <cell r="C208">
            <v>152131</v>
          </cell>
        </row>
        <row r="209">
          <cell r="C209">
            <v>179758</v>
          </cell>
        </row>
        <row r="210">
          <cell r="C210">
            <v>537639</v>
          </cell>
        </row>
        <row r="211">
          <cell r="C211">
            <v>537640</v>
          </cell>
        </row>
        <row r="212">
          <cell r="C212">
            <v>558141</v>
          </cell>
        </row>
        <row r="213">
          <cell r="C213">
            <v>537642</v>
          </cell>
        </row>
        <row r="214">
          <cell r="C214">
            <v>537644</v>
          </cell>
        </row>
        <row r="215">
          <cell r="C215">
            <v>537645</v>
          </cell>
        </row>
        <row r="216">
          <cell r="C216">
            <v>126908</v>
          </cell>
        </row>
        <row r="217">
          <cell r="C217">
            <v>526230</v>
          </cell>
        </row>
        <row r="218">
          <cell r="C218">
            <v>526231</v>
          </cell>
        </row>
        <row r="219">
          <cell r="C219">
            <v>537646</v>
          </cell>
        </row>
        <row r="220">
          <cell r="C220">
            <v>537647</v>
          </cell>
        </row>
        <row r="221">
          <cell r="C221">
            <v>537649</v>
          </cell>
        </row>
        <row r="222">
          <cell r="C222">
            <v>126911</v>
          </cell>
        </row>
        <row r="225">
          <cell r="C225">
            <v>526232</v>
          </cell>
        </row>
        <row r="226">
          <cell r="C226">
            <v>177595</v>
          </cell>
        </row>
        <row r="227">
          <cell r="C227">
            <v>526233</v>
          </cell>
        </row>
        <row r="228">
          <cell r="C228">
            <v>177596</v>
          </cell>
        </row>
        <row r="258">
          <cell r="C258">
            <v>602583</v>
          </cell>
        </row>
        <row r="259">
          <cell r="C259">
            <v>601530</v>
          </cell>
        </row>
        <row r="260">
          <cell r="C260">
            <v>601521</v>
          </cell>
        </row>
        <row r="263">
          <cell r="C263">
            <v>134921</v>
          </cell>
        </row>
        <row r="264">
          <cell r="C264">
            <v>131461</v>
          </cell>
        </row>
        <row r="265">
          <cell r="C265">
            <v>641960</v>
          </cell>
        </row>
        <row r="266">
          <cell r="C266">
            <v>641961</v>
          </cell>
        </row>
        <row r="267">
          <cell r="C267">
            <v>601575</v>
          </cell>
        </row>
        <row r="268">
          <cell r="C268">
            <v>601573</v>
          </cell>
        </row>
        <row r="269">
          <cell r="C269">
            <v>641959</v>
          </cell>
        </row>
        <row r="270">
          <cell r="C270">
            <v>641963</v>
          </cell>
        </row>
        <row r="271">
          <cell r="C271">
            <v>641962</v>
          </cell>
        </row>
        <row r="272">
          <cell r="C272">
            <v>679774</v>
          </cell>
        </row>
        <row r="276">
          <cell r="C276">
            <v>159875</v>
          </cell>
        </row>
        <row r="280">
          <cell r="C280">
            <v>529913</v>
          </cell>
        </row>
        <row r="292">
          <cell r="C292">
            <v>1</v>
          </cell>
        </row>
        <row r="295">
          <cell r="B295" t="str">
            <v>L:\!Прайсы\temp\Архив прайс-листов\1 Москва Архив\1 Розничные\Кирпич Terca (Эстония) архив.xls</v>
          </cell>
        </row>
        <row r="296">
          <cell r="B296" t="str">
            <v>L:\!Прайсы\temp\Архив прайс-листов\1 Москва Архив\2 Прайс 30\Кирпич Terca (Эстония) 30 архив.xls</v>
          </cell>
        </row>
        <row r="297">
          <cell r="B297" t="str">
            <v>L:\!Прайсы\temp\Архив прайс-листов\1 Москва Архив\3 Прайс 150\Кирпич Terca (Эстония) 150 архив.xls</v>
          </cell>
        </row>
        <row r="298">
          <cell r="B298" t="str">
            <v>L:\!Прайсы\temp\Архив прайс-листов\1 Москва Архив\4 Дилерский архив\Кирпич Terca (Эстония) Дилерский архив.xls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и"/>
      <sheetName val="Меню"/>
      <sheetName val="BRAER (Россия)"/>
      <sheetName val="BRAER (Россия) 30"/>
      <sheetName val="BRAER (Россия) 150"/>
      <sheetName val="BRAER (Россия) Дилерский"/>
      <sheetName val="BRAER (Россия) Спецпрайс"/>
      <sheetName val="BRAER Доставка"/>
      <sheetName val="Керамейя"/>
      <sheetName val="Керамейя 30"/>
      <sheetName val="Керамейя 150"/>
      <sheetName val="Керамейя Дилерский"/>
      <sheetName val="Керамейя Спецпрайс"/>
      <sheetName val="RAUF fassade"/>
      <sheetName val="RAUF fassade 30"/>
      <sheetName val="RAUF fassade 150"/>
      <sheetName val="RAUF fassade Дилерский"/>
      <sheetName val="RAUF fassade Спецпрайс"/>
      <sheetName val="RAUF. Доставка"/>
      <sheetName val="ВВКЗ"/>
      <sheetName val="ВВКЗ 30"/>
      <sheetName val="ВВКЗ 150"/>
      <sheetName val="ВВКЗ Дилерский"/>
      <sheetName val="ВВКЗ Спецпрайс"/>
      <sheetName val="Пятый Элемент"/>
      <sheetName val="Пятый Элемент 30"/>
      <sheetName val="Пятый Элемент 150"/>
      <sheetName val="Пятый Элемент Дилерский"/>
      <sheetName val="Пятый Элемент Спецпрайс"/>
      <sheetName val="RAUF Design"/>
      <sheetName val="RAUF Design 30"/>
      <sheetName val="RAUF Design 150"/>
      <sheetName val="RAUF Design Дилерский"/>
      <sheetName val="RAUF Design Спецпрайс"/>
    </sheetNames>
    <sheetDataSet>
      <sheetData sheetId="0">
        <row r="25">
          <cell r="C25">
            <v>1</v>
          </cell>
        </row>
        <row r="27">
          <cell r="C27">
            <v>5</v>
          </cell>
        </row>
        <row r="28">
          <cell r="C28">
            <v>12</v>
          </cell>
        </row>
        <row r="29">
          <cell r="C29">
            <v>14</v>
          </cell>
        </row>
        <row r="235">
          <cell r="C235">
            <v>159875</v>
          </cell>
        </row>
        <row r="237">
          <cell r="C237">
            <v>149860</v>
          </cell>
        </row>
        <row r="240">
          <cell r="C240">
            <v>622146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</sheetPr>
  <dimension ref="A1:AF137"/>
  <sheetViews>
    <sheetView showGridLines="0" tabSelected="1" zoomScaleSheetLayoutView="90" workbookViewId="0" topLeftCell="A1">
      <selection activeCell="B28" sqref="B28"/>
    </sheetView>
  </sheetViews>
  <sheetFormatPr defaultColWidth="0" defaultRowHeight="12.75" customHeight="1" zeroHeight="1"/>
  <cols>
    <col min="1" max="1" width="1.28515625" style="617" customWidth="1"/>
    <col min="2" max="2" width="1.57421875" style="617" customWidth="1"/>
    <col min="3" max="3" width="0.85546875" style="617" customWidth="1"/>
    <col min="4" max="4" width="2.8515625" style="618" customWidth="1"/>
    <col min="5" max="5" width="12.00390625" style="618" customWidth="1"/>
    <col min="6" max="6" width="25.8515625" style="618" customWidth="1"/>
    <col min="7" max="7" width="12.00390625" style="618" customWidth="1"/>
    <col min="8" max="8" width="7.8515625" style="617" customWidth="1"/>
    <col min="9" max="9" width="12.00390625" style="617" customWidth="1"/>
    <col min="10" max="10" width="25.8515625" style="618" customWidth="1"/>
    <col min="11" max="11" width="12.00390625" style="618" customWidth="1"/>
    <col min="12" max="12" width="0.9921875" style="617" customWidth="1"/>
    <col min="13" max="13" width="1.7109375" style="617" customWidth="1"/>
    <col min="14" max="14" width="1.28515625" style="617" customWidth="1"/>
    <col min="15" max="16384" width="3.00390625" style="617" hidden="1" customWidth="1"/>
  </cols>
  <sheetData>
    <row r="1" spans="1:12" ht="6.75" customHeight="1">
      <c r="A1" s="615"/>
      <c r="B1" s="616"/>
      <c r="C1" s="615"/>
      <c r="D1" s="617"/>
      <c r="E1" s="617"/>
      <c r="F1" s="617"/>
      <c r="G1" s="617"/>
      <c r="H1" s="618"/>
      <c r="I1" s="618"/>
      <c r="J1" s="617"/>
      <c r="K1" s="617"/>
      <c r="L1" s="619"/>
    </row>
    <row r="2" spans="2:13" ht="6.75" customHeight="1">
      <c r="B2" s="620"/>
      <c r="C2" s="620"/>
      <c r="D2" s="620"/>
      <c r="E2" s="620"/>
      <c r="F2" s="620"/>
      <c r="G2" s="620"/>
      <c r="H2" s="621"/>
      <c r="I2" s="621"/>
      <c r="J2" s="620"/>
      <c r="K2" s="620"/>
      <c r="L2" s="622"/>
      <c r="M2" s="620"/>
    </row>
    <row r="3" spans="2:13" ht="51" customHeight="1">
      <c r="B3" s="620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20"/>
    </row>
    <row r="4" spans="2:13" s="616" customFormat="1" ht="3" customHeight="1" hidden="1">
      <c r="B4" s="623"/>
      <c r="C4" s="662"/>
      <c r="D4" s="662"/>
      <c r="E4" s="662"/>
      <c r="F4" s="662"/>
      <c r="G4" s="662"/>
      <c r="H4" s="662"/>
      <c r="I4" s="662"/>
      <c r="J4" s="662"/>
      <c r="K4" s="624"/>
      <c r="L4" s="623"/>
      <c r="M4" s="623"/>
    </row>
    <row r="5" spans="2:13" s="625" customFormat="1" ht="15" customHeight="1">
      <c r="B5" s="626"/>
      <c r="C5" s="627"/>
      <c r="D5" s="627"/>
      <c r="E5" s="627"/>
      <c r="F5" s="627"/>
      <c r="G5" s="627"/>
      <c r="H5" s="627"/>
      <c r="I5" s="627"/>
      <c r="J5" s="627"/>
      <c r="K5" s="627"/>
      <c r="L5" s="627"/>
      <c r="M5" s="628"/>
    </row>
    <row r="6" spans="2:13" s="625" customFormat="1" ht="20.25">
      <c r="B6" s="626"/>
      <c r="C6" s="663" t="s">
        <v>611</v>
      </c>
      <c r="D6" s="663"/>
      <c r="E6" s="663"/>
      <c r="F6" s="663"/>
      <c r="G6" s="663"/>
      <c r="H6" s="663"/>
      <c r="I6" s="663"/>
      <c r="J6" s="663"/>
      <c r="K6" s="663"/>
      <c r="L6" s="663"/>
      <c r="M6" s="628"/>
    </row>
    <row r="7" spans="2:13" s="625" customFormat="1" ht="12" customHeight="1">
      <c r="B7" s="626"/>
      <c r="C7" s="664"/>
      <c r="D7" s="664"/>
      <c r="E7" s="664"/>
      <c r="F7" s="664"/>
      <c r="G7" s="664"/>
      <c r="H7" s="664"/>
      <c r="I7" s="664"/>
      <c r="J7" s="664"/>
      <c r="K7" s="664"/>
      <c r="L7" s="664"/>
      <c r="M7" s="628"/>
    </row>
    <row r="8" spans="2:32" s="629" customFormat="1" ht="21.75" customHeight="1">
      <c r="B8" s="630"/>
      <c r="C8" s="631"/>
      <c r="D8" s="632"/>
      <c r="E8" s="632"/>
      <c r="F8" s="631"/>
      <c r="G8" s="631"/>
      <c r="H8" s="631"/>
      <c r="I8" s="631"/>
      <c r="J8" s="631"/>
      <c r="K8" s="631"/>
      <c r="L8" s="631"/>
      <c r="M8" s="633"/>
      <c r="U8" s="634"/>
      <c r="V8" s="635"/>
      <c r="W8" s="634"/>
      <c r="X8" s="634"/>
      <c r="Y8" s="634"/>
      <c r="Z8" s="634"/>
      <c r="AA8" s="634"/>
      <c r="AB8" s="636"/>
      <c r="AC8" s="637"/>
      <c r="AD8" s="637"/>
      <c r="AE8" s="637"/>
      <c r="AF8" s="638"/>
    </row>
    <row r="9" spans="2:27" s="629" customFormat="1" ht="22.5" customHeight="1">
      <c r="B9" s="630"/>
      <c r="C9" s="631"/>
      <c r="D9" s="639"/>
      <c r="E9" s="639"/>
      <c r="F9" s="640"/>
      <c r="G9" s="640"/>
      <c r="H9" s="640"/>
      <c r="I9" s="640"/>
      <c r="J9" s="641"/>
      <c r="K9" s="640"/>
      <c r="L9" s="631"/>
      <c r="M9" s="633"/>
      <c r="P9" s="634"/>
      <c r="Q9" s="635"/>
      <c r="R9" s="634"/>
      <c r="S9" s="642"/>
      <c r="T9" s="642"/>
      <c r="U9" s="642"/>
      <c r="V9" s="642"/>
      <c r="W9" s="636"/>
      <c r="X9" s="637"/>
      <c r="Y9" s="637"/>
      <c r="Z9" s="637"/>
      <c r="AA9" s="638"/>
    </row>
    <row r="10" spans="2:25" s="643" customFormat="1" ht="7.5" customHeight="1">
      <c r="B10" s="644"/>
      <c r="C10" s="631"/>
      <c r="D10" s="639"/>
      <c r="E10" s="639"/>
      <c r="F10" s="640"/>
      <c r="G10" s="640"/>
      <c r="H10" s="640"/>
      <c r="I10" s="640"/>
      <c r="J10" s="640"/>
      <c r="K10" s="640"/>
      <c r="L10" s="631"/>
      <c r="M10" s="633"/>
      <c r="N10" s="645"/>
      <c r="O10" s="646"/>
      <c r="P10" s="645"/>
      <c r="Q10" s="647"/>
      <c r="R10" s="647"/>
      <c r="S10" s="647"/>
      <c r="T10" s="647"/>
      <c r="U10" s="648"/>
      <c r="V10" s="648"/>
      <c r="W10" s="648"/>
      <c r="X10" s="648"/>
      <c r="Y10" s="649"/>
    </row>
    <row r="11" spans="2:32" s="650" customFormat="1" ht="13.5" customHeight="1">
      <c r="B11" s="651"/>
      <c r="C11" s="631"/>
      <c r="D11" s="665"/>
      <c r="E11" s="665"/>
      <c r="F11" s="665"/>
      <c r="G11" s="665"/>
      <c r="H11" s="652"/>
      <c r="I11" s="665"/>
      <c r="J11" s="665"/>
      <c r="K11" s="652"/>
      <c r="L11" s="631"/>
      <c r="M11" s="633"/>
      <c r="U11" s="653"/>
      <c r="V11" s="654"/>
      <c r="W11" s="653"/>
      <c r="X11" s="655"/>
      <c r="Y11" s="655"/>
      <c r="Z11" s="655"/>
      <c r="AA11" s="655"/>
      <c r="AB11" s="656"/>
      <c r="AC11" s="657"/>
      <c r="AD11" s="657"/>
      <c r="AE11" s="657"/>
      <c r="AF11" s="658"/>
    </row>
    <row r="12" spans="2:32" s="650" customFormat="1" ht="13.5" customHeight="1">
      <c r="B12" s="651"/>
      <c r="C12" s="652"/>
      <c r="D12" s="652"/>
      <c r="E12" s="666" t="s">
        <v>612</v>
      </c>
      <c r="F12" s="666"/>
      <c r="G12" s="666"/>
      <c r="H12" s="652"/>
      <c r="I12" s="666" t="s">
        <v>613</v>
      </c>
      <c r="J12" s="666"/>
      <c r="K12" s="666"/>
      <c r="L12" s="631"/>
      <c r="M12" s="633"/>
      <c r="U12" s="653"/>
      <c r="V12" s="654"/>
      <c r="W12" s="653"/>
      <c r="X12" s="655"/>
      <c r="Y12" s="655"/>
      <c r="Z12" s="655"/>
      <c r="AA12" s="655"/>
      <c r="AB12" s="656"/>
      <c r="AC12" s="657"/>
      <c r="AD12" s="657"/>
      <c r="AE12" s="657"/>
      <c r="AF12" s="658"/>
    </row>
    <row r="13" spans="2:32" s="650" customFormat="1" ht="13.5" customHeight="1">
      <c r="B13" s="651"/>
      <c r="C13" s="652"/>
      <c r="D13" s="652"/>
      <c r="E13" s="666" t="s">
        <v>614</v>
      </c>
      <c r="F13" s="666"/>
      <c r="G13" s="666"/>
      <c r="H13" s="652"/>
      <c r="I13" s="659"/>
      <c r="J13" s="659"/>
      <c r="K13" s="659"/>
      <c r="L13" s="631"/>
      <c r="M13" s="633"/>
      <c r="U13" s="653"/>
      <c r="V13" s="654"/>
      <c r="W13" s="653"/>
      <c r="X13" s="655"/>
      <c r="Y13" s="655"/>
      <c r="Z13" s="655"/>
      <c r="AA13" s="655"/>
      <c r="AB13" s="656"/>
      <c r="AC13" s="657"/>
      <c r="AD13" s="657"/>
      <c r="AE13" s="657"/>
      <c r="AF13" s="658"/>
    </row>
    <row r="14" spans="2:32" s="650" customFormat="1" ht="13.5" customHeight="1">
      <c r="B14" s="651"/>
      <c r="C14" s="652"/>
      <c r="D14" s="652"/>
      <c r="E14" s="659"/>
      <c r="F14" s="659" t="s">
        <v>615</v>
      </c>
      <c r="G14" s="659"/>
      <c r="H14" s="652"/>
      <c r="I14" s="659"/>
      <c r="J14" s="659"/>
      <c r="K14" s="659"/>
      <c r="L14" s="631"/>
      <c r="M14" s="633"/>
      <c r="U14" s="653"/>
      <c r="V14" s="654"/>
      <c r="W14" s="653"/>
      <c r="X14" s="655"/>
      <c r="Y14" s="655"/>
      <c r="Z14" s="655"/>
      <c r="AA14" s="655"/>
      <c r="AB14" s="656"/>
      <c r="AC14" s="657"/>
      <c r="AD14" s="657"/>
      <c r="AE14" s="657"/>
      <c r="AF14" s="658"/>
    </row>
    <row r="15" spans="2:32" s="650" customFormat="1" ht="13.5" customHeight="1">
      <c r="B15" s="651"/>
      <c r="C15" s="652"/>
      <c r="D15" s="652"/>
      <c r="E15" s="659"/>
      <c r="F15" s="659"/>
      <c r="G15" s="659"/>
      <c r="H15" s="652"/>
      <c r="I15" s="659"/>
      <c r="J15" s="659"/>
      <c r="K15" s="659"/>
      <c r="L15" s="631"/>
      <c r="M15" s="633"/>
      <c r="U15" s="653"/>
      <c r="V15" s="654"/>
      <c r="W15" s="653"/>
      <c r="X15" s="655"/>
      <c r="Y15" s="655"/>
      <c r="Z15" s="655"/>
      <c r="AA15" s="655"/>
      <c r="AB15" s="656"/>
      <c r="AC15" s="657"/>
      <c r="AD15" s="657"/>
      <c r="AE15" s="657"/>
      <c r="AF15" s="658"/>
    </row>
    <row r="16" spans="2:32" s="650" customFormat="1" ht="13.5" customHeight="1">
      <c r="B16" s="651"/>
      <c r="C16" s="652"/>
      <c r="D16" s="652"/>
      <c r="E16" s="659"/>
      <c r="F16" s="659"/>
      <c r="G16" s="659"/>
      <c r="H16" s="652"/>
      <c r="I16" s="659"/>
      <c r="J16" s="659"/>
      <c r="K16" s="659"/>
      <c r="L16" s="631"/>
      <c r="M16" s="633"/>
      <c r="U16" s="653"/>
      <c r="V16" s="654"/>
      <c r="W16" s="653"/>
      <c r="X16" s="655"/>
      <c r="Y16" s="655"/>
      <c r="Z16" s="655"/>
      <c r="AA16" s="655"/>
      <c r="AB16" s="656"/>
      <c r="AC16" s="657"/>
      <c r="AD16" s="657"/>
      <c r="AE16" s="657"/>
      <c r="AF16" s="658"/>
    </row>
    <row r="17" spans="2:32" s="650" customFormat="1" ht="13.5" customHeight="1">
      <c r="B17" s="651"/>
      <c r="C17" s="652"/>
      <c r="D17" s="652"/>
      <c r="E17" s="659"/>
      <c r="F17" s="659"/>
      <c r="G17" s="659"/>
      <c r="H17" s="652"/>
      <c r="I17" s="659"/>
      <c r="J17" s="659"/>
      <c r="K17" s="659"/>
      <c r="L17" s="631"/>
      <c r="M17" s="633"/>
      <c r="U17" s="653"/>
      <c r="V17" s="654"/>
      <c r="W17" s="653"/>
      <c r="X17" s="655"/>
      <c r="Y17" s="655"/>
      <c r="Z17" s="655"/>
      <c r="AA17" s="655"/>
      <c r="AB17" s="656"/>
      <c r="AC17" s="657"/>
      <c r="AD17" s="657"/>
      <c r="AE17" s="657"/>
      <c r="AF17" s="658"/>
    </row>
    <row r="18" spans="2:32" s="650" customFormat="1" ht="13.5" customHeight="1">
      <c r="B18" s="651"/>
      <c r="C18" s="652"/>
      <c r="D18" s="652"/>
      <c r="E18" s="659"/>
      <c r="F18" s="659"/>
      <c r="G18" s="666" t="s">
        <v>616</v>
      </c>
      <c r="H18" s="666"/>
      <c r="I18" s="666"/>
      <c r="J18" s="659"/>
      <c r="K18" s="659"/>
      <c r="L18" s="631"/>
      <c r="M18" s="633"/>
      <c r="U18" s="653"/>
      <c r="V18" s="654"/>
      <c r="W18" s="653"/>
      <c r="X18" s="655"/>
      <c r="Y18" s="655"/>
      <c r="Z18" s="655"/>
      <c r="AA18" s="655"/>
      <c r="AB18" s="656"/>
      <c r="AC18" s="657"/>
      <c r="AD18" s="657"/>
      <c r="AE18" s="657"/>
      <c r="AF18" s="658"/>
    </row>
    <row r="19" spans="2:32" s="650" customFormat="1" ht="13.5" customHeight="1">
      <c r="B19" s="651"/>
      <c r="C19" s="652"/>
      <c r="D19" s="652"/>
      <c r="E19" s="659"/>
      <c r="F19" s="659"/>
      <c r="G19" s="659"/>
      <c r="H19" s="652"/>
      <c r="I19" s="659"/>
      <c r="J19" s="659"/>
      <c r="K19" s="659"/>
      <c r="L19" s="631"/>
      <c r="M19" s="633"/>
      <c r="U19" s="653"/>
      <c r="V19" s="654"/>
      <c r="W19" s="653"/>
      <c r="X19" s="655"/>
      <c r="Y19" s="655"/>
      <c r="Z19" s="655"/>
      <c r="AA19" s="655"/>
      <c r="AB19" s="656"/>
      <c r="AC19" s="657"/>
      <c r="AD19" s="657"/>
      <c r="AE19" s="657"/>
      <c r="AF19" s="658"/>
    </row>
    <row r="20" spans="2:32" s="650" customFormat="1" ht="13.5" customHeight="1">
      <c r="B20" s="651"/>
      <c r="C20" s="652"/>
      <c r="D20" s="652"/>
      <c r="E20" s="659"/>
      <c r="F20" s="659"/>
      <c r="G20" s="659"/>
      <c r="H20" s="652"/>
      <c r="I20" s="659"/>
      <c r="J20" s="659"/>
      <c r="K20" s="659"/>
      <c r="L20" s="631"/>
      <c r="M20" s="633"/>
      <c r="U20" s="653"/>
      <c r="V20" s="654"/>
      <c r="W20" s="653"/>
      <c r="X20" s="655"/>
      <c r="Y20" s="655"/>
      <c r="Z20" s="655"/>
      <c r="AA20" s="655"/>
      <c r="AB20" s="656"/>
      <c r="AC20" s="657"/>
      <c r="AD20" s="657"/>
      <c r="AE20" s="657"/>
      <c r="AF20" s="658"/>
    </row>
    <row r="21" spans="2:25" s="643" customFormat="1" ht="15" customHeight="1">
      <c r="B21" s="644"/>
      <c r="C21" s="644"/>
      <c r="D21" s="644"/>
      <c r="E21" s="667"/>
      <c r="F21" s="667"/>
      <c r="G21" s="667"/>
      <c r="H21" s="652"/>
      <c r="I21" s="668"/>
      <c r="J21" s="668"/>
      <c r="K21" s="668"/>
      <c r="L21" s="652"/>
      <c r="M21" s="633"/>
      <c r="N21" s="645"/>
      <c r="O21" s="646"/>
      <c r="P21" s="645"/>
      <c r="Q21" s="647"/>
      <c r="R21" s="647"/>
      <c r="S21" s="647"/>
      <c r="T21" s="647"/>
      <c r="U21" s="648"/>
      <c r="V21" s="648"/>
      <c r="W21" s="648"/>
      <c r="X21" s="648"/>
      <c r="Y21" s="649"/>
    </row>
    <row r="22" ht="13.5" customHeight="1"/>
    <row r="23" spans="4:11" ht="17.25" customHeight="1" hidden="1">
      <c r="D23" s="617"/>
      <c r="E23" s="617"/>
      <c r="F23" s="617"/>
      <c r="G23" s="617"/>
      <c r="J23" s="617"/>
      <c r="K23" s="617"/>
    </row>
    <row r="24" spans="4:11" ht="17.25" customHeight="1" hidden="1">
      <c r="D24" s="617"/>
      <c r="E24" s="617"/>
      <c r="F24" s="617"/>
      <c r="G24" s="617"/>
      <c r="J24" s="617"/>
      <c r="K24" s="617"/>
    </row>
    <row r="25" spans="4:11" ht="17.25" customHeight="1" hidden="1">
      <c r="D25" s="617"/>
      <c r="E25" s="617"/>
      <c r="F25" s="617"/>
      <c r="G25" s="617"/>
      <c r="J25" s="617"/>
      <c r="K25" s="617"/>
    </row>
    <row r="26" spans="4:11" ht="17.25" customHeight="1" hidden="1">
      <c r="D26" s="617"/>
      <c r="E26" s="617"/>
      <c r="F26" s="617"/>
      <c r="G26" s="617"/>
      <c r="J26" s="617"/>
      <c r="K26" s="617"/>
    </row>
    <row r="27" spans="4:11" ht="17.25" customHeight="1" hidden="1">
      <c r="D27" s="617"/>
      <c r="E27" s="617"/>
      <c r="F27" s="617"/>
      <c r="G27" s="617"/>
      <c r="J27" s="617"/>
      <c r="K27" s="617"/>
    </row>
    <row r="28" spans="4:11" ht="17.25" customHeight="1" hidden="1">
      <c r="D28" s="617"/>
      <c r="E28" s="617"/>
      <c r="F28" s="617"/>
      <c r="G28" s="617"/>
      <c r="J28" s="617"/>
      <c r="K28" s="617"/>
    </row>
    <row r="29" spans="4:11" ht="17.25" customHeight="1" hidden="1">
      <c r="D29" s="617"/>
      <c r="E29" s="617"/>
      <c r="F29" s="617"/>
      <c r="G29" s="617"/>
      <c r="J29" s="617"/>
      <c r="K29" s="617"/>
    </row>
    <row r="30" spans="4:11" ht="17.25" customHeight="1" hidden="1">
      <c r="D30" s="617"/>
      <c r="E30" s="617"/>
      <c r="F30" s="617"/>
      <c r="G30" s="617"/>
      <c r="J30" s="617"/>
      <c r="K30" s="617"/>
    </row>
    <row r="31" spans="4:11" ht="17.25" customHeight="1" hidden="1">
      <c r="D31" s="617"/>
      <c r="E31" s="617"/>
      <c r="F31" s="617"/>
      <c r="G31" s="617"/>
      <c r="J31" s="617"/>
      <c r="K31" s="617"/>
    </row>
    <row r="32" spans="4:11" ht="17.25" customHeight="1" hidden="1">
      <c r="D32" s="617"/>
      <c r="E32" s="617"/>
      <c r="F32" s="617"/>
      <c r="G32" s="617"/>
      <c r="J32" s="617"/>
      <c r="K32" s="617"/>
    </row>
    <row r="33" spans="4:11" ht="17.25" customHeight="1" hidden="1">
      <c r="D33" s="617"/>
      <c r="E33" s="617"/>
      <c r="F33" s="617"/>
      <c r="G33" s="617"/>
      <c r="J33" s="617"/>
      <c r="K33" s="617"/>
    </row>
    <row r="34" spans="4:11" ht="17.25" customHeight="1" hidden="1">
      <c r="D34" s="617"/>
      <c r="E34" s="617"/>
      <c r="F34" s="617"/>
      <c r="G34" s="617"/>
      <c r="J34" s="617"/>
      <c r="K34" s="617"/>
    </row>
    <row r="35" spans="4:11" ht="17.25" customHeight="1" hidden="1">
      <c r="D35" s="617"/>
      <c r="E35" s="617"/>
      <c r="F35" s="617"/>
      <c r="G35" s="617"/>
      <c r="J35" s="617"/>
      <c r="K35" s="617"/>
    </row>
    <row r="36" spans="4:11" ht="17.25" customHeight="1" hidden="1">
      <c r="D36" s="617"/>
      <c r="E36" s="617"/>
      <c r="F36" s="617"/>
      <c r="G36" s="617"/>
      <c r="J36" s="617"/>
      <c r="K36" s="617"/>
    </row>
    <row r="37" spans="4:11" ht="17.25" customHeight="1" hidden="1">
      <c r="D37" s="617"/>
      <c r="E37" s="617"/>
      <c r="F37" s="617"/>
      <c r="G37" s="617"/>
      <c r="J37" s="617"/>
      <c r="K37" s="617"/>
    </row>
    <row r="38" spans="4:11" ht="17.25" customHeight="1" hidden="1">
      <c r="D38" s="617"/>
      <c r="E38" s="617"/>
      <c r="F38" s="617"/>
      <c r="G38" s="617"/>
      <c r="J38" s="617"/>
      <c r="K38" s="617"/>
    </row>
    <row r="39" spans="4:11" ht="17.25" customHeight="1" hidden="1">
      <c r="D39" s="617"/>
      <c r="E39" s="617"/>
      <c r="F39" s="617"/>
      <c r="G39" s="617"/>
      <c r="J39" s="617"/>
      <c r="K39" s="617"/>
    </row>
    <row r="40" spans="4:11" ht="17.25" customHeight="1" hidden="1">
      <c r="D40" s="617"/>
      <c r="E40" s="617"/>
      <c r="F40" s="617"/>
      <c r="G40" s="617"/>
      <c r="J40" s="617"/>
      <c r="K40" s="617"/>
    </row>
    <row r="41" spans="4:11" ht="17.25" customHeight="1" hidden="1">
      <c r="D41" s="617"/>
      <c r="E41" s="617"/>
      <c r="F41" s="617"/>
      <c r="G41" s="617"/>
      <c r="J41" s="617"/>
      <c r="K41" s="617"/>
    </row>
    <row r="42" spans="4:11" ht="17.25" customHeight="1" hidden="1">
      <c r="D42" s="617"/>
      <c r="E42" s="617"/>
      <c r="F42" s="617"/>
      <c r="G42" s="617"/>
      <c r="J42" s="617"/>
      <c r="K42" s="617"/>
    </row>
    <row r="43" spans="4:11" ht="17.25" customHeight="1" hidden="1">
      <c r="D43" s="617"/>
      <c r="E43" s="617"/>
      <c r="F43" s="617"/>
      <c r="G43" s="617"/>
      <c r="J43" s="617"/>
      <c r="K43" s="617"/>
    </row>
    <row r="44" spans="4:11" ht="17.25" customHeight="1" hidden="1">
      <c r="D44" s="617"/>
      <c r="E44" s="617"/>
      <c r="F44" s="617"/>
      <c r="G44" s="617"/>
      <c r="J44" s="617"/>
      <c r="K44" s="617"/>
    </row>
    <row r="45" spans="4:11" ht="17.25" customHeight="1" hidden="1">
      <c r="D45" s="617"/>
      <c r="E45" s="617"/>
      <c r="F45" s="617"/>
      <c r="G45" s="617"/>
      <c r="J45" s="617"/>
      <c r="K45" s="617"/>
    </row>
    <row r="46" spans="4:11" ht="17.25" customHeight="1" hidden="1">
      <c r="D46" s="617"/>
      <c r="E46" s="617"/>
      <c r="F46" s="617"/>
      <c r="G46" s="617"/>
      <c r="J46" s="617"/>
      <c r="K46" s="617"/>
    </row>
    <row r="47" ht="409.5" customHeight="1" hidden="1"/>
    <row r="48" ht="409.5" customHeight="1" hidden="1"/>
    <row r="49" ht="409.5" customHeight="1" hidden="1"/>
    <row r="50" ht="409.5" customHeight="1" hidden="1"/>
    <row r="51" ht="409.5" customHeight="1" hidden="1"/>
    <row r="52" ht="409.5" customHeight="1" hidden="1"/>
    <row r="53" ht="409.5" customHeight="1" hidden="1"/>
    <row r="54" ht="409.5" customHeight="1" hidden="1"/>
    <row r="55" ht="409.5" customHeight="1" hidden="1"/>
    <row r="56" ht="409.5" customHeight="1" hidden="1"/>
    <row r="57" ht="409.5" customHeight="1" hidden="1"/>
    <row r="58" ht="409.5" customHeight="1" hidden="1"/>
    <row r="59" ht="409.5" customHeight="1" hidden="1"/>
    <row r="60" ht="409.5" customHeight="1" hidden="1"/>
    <row r="61" ht="409.5" customHeight="1" hidden="1"/>
    <row r="62" ht="409.5" customHeight="1" hidden="1"/>
    <row r="63" ht="409.5" customHeight="1" hidden="1"/>
    <row r="64" ht="409.5" customHeight="1" hidden="1"/>
    <row r="65" ht="409.5" customHeight="1" hidden="1"/>
    <row r="66" ht="409.5" customHeight="1" hidden="1"/>
    <row r="67" ht="409.5" customHeight="1" hidden="1"/>
    <row r="68" ht="409.5" customHeight="1" hidden="1"/>
    <row r="69" ht="409.5" customHeight="1" hidden="1"/>
    <row r="70" ht="409.5" customHeight="1" hidden="1"/>
    <row r="71" ht="409.5" customHeight="1" hidden="1"/>
    <row r="72" ht="409.5" customHeight="1" hidden="1"/>
    <row r="73" ht="409.5" customHeight="1" hidden="1"/>
    <row r="74" ht="409.5" customHeight="1" hidden="1"/>
    <row r="75" ht="409.5" customHeight="1" hidden="1"/>
    <row r="76" ht="409.5" customHeight="1" hidden="1"/>
    <row r="77" ht="409.5" customHeight="1" hidden="1"/>
    <row r="78" ht="409.5" customHeight="1" hidden="1"/>
    <row r="79" ht="409.5" customHeight="1" hidden="1"/>
    <row r="80" ht="409.5" customHeight="1" hidden="1"/>
    <row r="81" ht="409.5" customHeight="1" hidden="1"/>
    <row r="82" ht="409.5" customHeight="1" hidden="1"/>
    <row r="83" ht="409.5" customHeight="1" hidden="1"/>
    <row r="84" ht="409.5" customHeight="1" hidden="1"/>
    <row r="85" ht="409.5" customHeight="1" hidden="1"/>
    <row r="86" ht="409.5" customHeight="1" hidden="1"/>
    <row r="87" ht="409.5" customHeight="1" hidden="1"/>
    <row r="88" ht="409.5" customHeight="1" hidden="1"/>
    <row r="89" ht="409.5" customHeight="1" hidden="1"/>
    <row r="90" ht="409.5" customHeight="1" hidden="1"/>
    <row r="91" ht="409.5" customHeight="1" hidden="1"/>
    <row r="92" ht="409.5" customHeight="1" hidden="1"/>
    <row r="93" ht="409.5" customHeight="1" hidden="1"/>
    <row r="94" ht="409.5" customHeight="1" hidden="1"/>
    <row r="95" ht="409.5" customHeight="1" hidden="1"/>
    <row r="96" ht="409.5" customHeight="1" hidden="1"/>
    <row r="97" ht="409.5" customHeight="1" hidden="1"/>
    <row r="98" ht="409.5" customHeight="1" hidden="1"/>
    <row r="99" ht="409.5" customHeight="1" hidden="1"/>
    <row r="100" ht="409.5" customHeight="1" hidden="1"/>
    <row r="101" ht="409.5" customHeight="1" hidden="1"/>
    <row r="102" ht="409.5" customHeight="1" hidden="1"/>
    <row r="103" ht="409.5" customHeight="1" hidden="1"/>
    <row r="104" ht="409.5" customHeight="1" hidden="1"/>
    <row r="105" ht="409.5" customHeight="1" hidden="1"/>
    <row r="106" ht="409.5" customHeight="1" hidden="1"/>
    <row r="107" ht="409.5" customHeight="1" hidden="1"/>
    <row r="108" ht="409.5" customHeight="1" hidden="1"/>
    <row r="109" ht="409.5" customHeight="1" hidden="1"/>
    <row r="110" ht="409.5" customHeight="1" hidden="1"/>
    <row r="111" ht="409.5" customHeight="1" hidden="1"/>
    <row r="112" ht="409.5" customHeight="1" hidden="1"/>
    <row r="113" ht="409.5" customHeight="1" hidden="1"/>
    <row r="114" ht="409.5" customHeight="1" hidden="1"/>
    <row r="115" ht="409.5" customHeight="1" hidden="1"/>
    <row r="116" ht="409.5" customHeight="1" hidden="1"/>
    <row r="117" ht="409.5" customHeight="1" hidden="1"/>
    <row r="118" ht="409.5" customHeight="1" hidden="1"/>
    <row r="119" ht="409.5" customHeight="1" hidden="1"/>
    <row r="120" ht="409.5" customHeight="1" hidden="1"/>
    <row r="121" ht="409.5" customHeight="1" hidden="1"/>
    <row r="122" ht="409.5" customHeight="1" hidden="1"/>
    <row r="123" ht="409.5" customHeight="1" hidden="1"/>
    <row r="124" ht="409.5" customHeight="1" hidden="1"/>
    <row r="125" ht="409.5" customHeight="1" hidden="1"/>
    <row r="126" ht="409.5" customHeight="1" hidden="1"/>
    <row r="127" ht="409.5" customHeight="1" hidden="1"/>
    <row r="128" ht="409.5" customHeight="1" hidden="1"/>
    <row r="129" ht="409.5" customHeight="1" hidden="1"/>
    <row r="130" ht="409.5" customHeight="1" hidden="1"/>
    <row r="131" ht="409.5" customHeight="1" hidden="1"/>
    <row r="132" ht="409.5" customHeight="1" hidden="1"/>
    <row r="133" ht="409.5" customHeight="1" hidden="1"/>
    <row r="134" ht="409.5" customHeight="1" hidden="1"/>
    <row r="135" ht="409.5" customHeight="1" hidden="1"/>
    <row r="136" ht="409.5" customHeight="1" hidden="1"/>
    <row r="137" ht="409.5" customHeight="1" hidden="1">
      <c r="L137" s="660"/>
    </row>
  </sheetData>
  <sheetProtection/>
  <mergeCells count="12">
    <mergeCell ref="E12:G12"/>
    <mergeCell ref="I12:K12"/>
    <mergeCell ref="E13:G13"/>
    <mergeCell ref="G18:I18"/>
    <mergeCell ref="E21:G21"/>
    <mergeCell ref="I21:K21"/>
    <mergeCell ref="C3:L3"/>
    <mergeCell ref="C4:J4"/>
    <mergeCell ref="C6:L6"/>
    <mergeCell ref="C7:L7"/>
    <mergeCell ref="D11:G11"/>
    <mergeCell ref="I11:J11"/>
  </mergeCells>
  <hyperlinks>
    <hyperlink ref="E12:G12" location="'Кирпич Terca BEL-NL'!A1" tooltip="Кирпич Терка" display="Кирпич Terca Бельгия - Голландия"/>
    <hyperlink ref="I12:K12" location="'Кирпич CRH NL'!A1" tooltip="Кирпич CRH" display="Кирпич CRH Голландия"/>
    <hyperlink ref="G18:I18" location="'Кирпич Feldhaus Klinker'!R1C1" tooltip="Кирпич Feldhaus" display="Кирпич Feldhaus"/>
    <hyperlink ref="E13:G13" location="'Кирпич Terca GER'!A1" tooltip="Кирпич Терка" display="Кирпич Terca Германия"/>
    <hyperlink ref="F14" location="'Кирпич Terca EST'!A1" display="Кирпич Terca Эстония"/>
  </hyperlinks>
  <printOptions/>
  <pageMargins left="0.7" right="0.7" top="0.75" bottom="0.75" header="0.3" footer="0.3"/>
  <pageSetup horizontalDpi="600" verticalDpi="600" orientation="portrait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8">
    <tabColor theme="9"/>
  </sheetPr>
  <dimension ref="A1:Q151"/>
  <sheetViews>
    <sheetView showGridLines="0" zoomScaleSheetLayoutView="90" workbookViewId="0" topLeftCell="A1">
      <selection activeCell="D145" sqref="A145:D145"/>
    </sheetView>
  </sheetViews>
  <sheetFormatPr defaultColWidth="0" defaultRowHeight="0" customHeight="1" zeroHeight="1"/>
  <cols>
    <col min="1" max="3" width="1.28515625" style="9" customWidth="1"/>
    <col min="4" max="4" width="15.57421875" style="5" customWidth="1"/>
    <col min="5" max="5" width="30.28125" style="167" customWidth="1"/>
    <col min="6" max="6" width="22.57421875" style="4" customWidth="1"/>
    <col min="7" max="7" width="22.140625" style="9" customWidth="1"/>
    <col min="8" max="8" width="7.28125" style="9" customWidth="1"/>
    <col min="9" max="9" width="10.00390625" style="9" customWidth="1"/>
    <col min="10" max="10" width="8.57421875" style="9" customWidth="1"/>
    <col min="11" max="12" width="9.421875" style="9" customWidth="1"/>
    <col min="13" max="13" width="1.28515625" style="9" customWidth="1"/>
    <col min="14" max="14" width="1.421875" style="9" customWidth="1"/>
    <col min="15" max="15" width="1.28515625" style="9" customWidth="1"/>
    <col min="16" max="16" width="1.421875" style="9" customWidth="1"/>
    <col min="17" max="16384" width="0" style="9" hidden="1" customWidth="1"/>
  </cols>
  <sheetData>
    <row r="1" spans="1:10" s="2" customFormat="1" ht="8.25" customHeight="1">
      <c r="A1" s="1"/>
      <c r="G1" s="3"/>
      <c r="H1" s="3"/>
      <c r="I1" s="3"/>
      <c r="J1" s="3"/>
    </row>
    <row r="2" spans="1:14" s="2" customFormat="1" ht="8.25" customHeight="1">
      <c r="A2" s="1"/>
      <c r="B2" s="4"/>
      <c r="C2" s="4"/>
      <c r="D2" s="5"/>
      <c r="E2" s="6"/>
      <c r="F2" s="7"/>
      <c r="G2" s="8"/>
      <c r="H2" s="8"/>
      <c r="I2" s="8"/>
      <c r="J2" s="8"/>
      <c r="K2" s="4"/>
      <c r="L2" s="4"/>
      <c r="M2" s="4"/>
      <c r="N2" s="4"/>
    </row>
    <row r="3" spans="1:16" ht="12" customHeight="1">
      <c r="A3" s="1"/>
      <c r="E3" s="6"/>
      <c r="F3" s="7"/>
      <c r="G3" s="10"/>
      <c r="H3" s="10"/>
      <c r="I3" s="10"/>
      <c r="J3" s="10"/>
      <c r="O3" s="11"/>
      <c r="P3" s="2"/>
    </row>
    <row r="4" spans="1:16" ht="42.75" customHeight="1">
      <c r="A4" s="1"/>
      <c r="E4" s="6"/>
      <c r="F4" s="7"/>
      <c r="G4" s="10"/>
      <c r="H4" s="10"/>
      <c r="I4" s="10"/>
      <c r="J4" s="10"/>
      <c r="O4" s="11"/>
      <c r="P4" s="2"/>
    </row>
    <row r="5" spans="1:16" ht="14.25" customHeight="1">
      <c r="A5" s="1"/>
      <c r="E5" s="6"/>
      <c r="F5" s="7"/>
      <c r="G5" s="10"/>
      <c r="H5" s="10"/>
      <c r="I5" s="10"/>
      <c r="J5" s="10"/>
      <c r="O5" s="11"/>
      <c r="P5" s="2"/>
    </row>
    <row r="6" spans="1:16" ht="30" customHeight="1">
      <c r="A6" s="1"/>
      <c r="C6" s="669" t="s">
        <v>0</v>
      </c>
      <c r="D6" s="669"/>
      <c r="E6" s="669"/>
      <c r="F6" s="669"/>
      <c r="G6" s="669"/>
      <c r="H6" s="669"/>
      <c r="I6" s="669"/>
      <c r="J6" s="669"/>
      <c r="K6" s="669"/>
      <c r="L6" s="669"/>
      <c r="M6" s="669"/>
      <c r="O6" s="11"/>
      <c r="P6" s="2"/>
    </row>
    <row r="7" spans="1:16" ht="26.25" customHeight="1" hidden="1">
      <c r="A7" s="1"/>
      <c r="C7" s="12"/>
      <c r="D7" s="13"/>
      <c r="E7" s="13"/>
      <c r="F7" s="13"/>
      <c r="G7" s="13"/>
      <c r="H7" s="13"/>
      <c r="I7" s="13"/>
      <c r="J7" s="13"/>
      <c r="K7" s="13"/>
      <c r="L7" s="13"/>
      <c r="M7" s="12"/>
      <c r="O7" s="11"/>
      <c r="P7" s="2"/>
    </row>
    <row r="8" spans="1:16" ht="7.5" customHeight="1" hidden="1">
      <c r="A8" s="1"/>
      <c r="C8" s="12"/>
      <c r="D8" s="13"/>
      <c r="E8" s="13"/>
      <c r="F8" s="13"/>
      <c r="G8" s="13"/>
      <c r="H8" s="13"/>
      <c r="I8" s="13"/>
      <c r="J8" s="13"/>
      <c r="K8" s="13"/>
      <c r="L8" s="13"/>
      <c r="M8" s="12"/>
      <c r="O8" s="11"/>
      <c r="P8" s="2"/>
    </row>
    <row r="9" spans="1:16" ht="11.25" customHeight="1">
      <c r="A9" s="1"/>
      <c r="C9" s="12"/>
      <c r="D9" s="670"/>
      <c r="E9" s="670"/>
      <c r="F9" s="670"/>
      <c r="G9" s="670"/>
      <c r="H9" s="670"/>
      <c r="I9" s="670"/>
      <c r="J9" s="670"/>
      <c r="K9" s="670"/>
      <c r="L9" s="670"/>
      <c r="M9" s="12"/>
      <c r="O9" s="11"/>
      <c r="P9" s="2"/>
    </row>
    <row r="10" spans="1:16" ht="18" customHeight="1">
      <c r="A10" s="1"/>
      <c r="C10" s="12"/>
      <c r="D10" s="14" t="s">
        <v>1</v>
      </c>
      <c r="E10" s="13"/>
      <c r="F10" s="13"/>
      <c r="G10" s="13"/>
      <c r="H10" s="13"/>
      <c r="I10" s="13"/>
      <c r="J10" s="13"/>
      <c r="K10" s="13"/>
      <c r="L10" s="13"/>
      <c r="M10" s="12"/>
      <c r="O10" s="11"/>
      <c r="P10" s="2"/>
    </row>
    <row r="11" spans="1:16" ht="13.5" customHeight="1" thickBot="1">
      <c r="A11" s="1"/>
      <c r="C11" s="15">
        <v>43512</v>
      </c>
      <c r="D11" s="16">
        <v>43512</v>
      </c>
      <c r="E11" s="17"/>
      <c r="F11" s="7"/>
      <c r="G11" s="671" t="s">
        <v>2</v>
      </c>
      <c r="H11" s="671"/>
      <c r="I11" s="671"/>
      <c r="J11" s="671"/>
      <c r="K11" s="671"/>
      <c r="L11" s="671"/>
      <c r="M11" s="671"/>
      <c r="O11" s="11"/>
      <c r="P11" s="2"/>
    </row>
    <row r="12" spans="1:16" ht="13.5" customHeight="1" thickTop="1">
      <c r="A12" s="1"/>
      <c r="C12" s="19"/>
      <c r="D12" s="20"/>
      <c r="E12" s="21"/>
      <c r="F12" s="22"/>
      <c r="G12" s="23"/>
      <c r="H12" s="23"/>
      <c r="I12" s="24"/>
      <c r="J12" s="24"/>
      <c r="K12" s="25"/>
      <c r="L12" s="26"/>
      <c r="M12" s="27"/>
      <c r="O12" s="11"/>
      <c r="P12" s="2"/>
    </row>
    <row r="13" spans="1:16" ht="13.5" customHeight="1">
      <c r="A13" s="1"/>
      <c r="C13" s="28"/>
      <c r="D13" s="672" t="s">
        <v>3</v>
      </c>
      <c r="E13" s="674" t="s">
        <v>4</v>
      </c>
      <c r="F13" s="674" t="s">
        <v>5</v>
      </c>
      <c r="G13" s="676" t="s">
        <v>6</v>
      </c>
      <c r="H13" s="678" t="s">
        <v>7</v>
      </c>
      <c r="I13" s="680" t="s">
        <v>8</v>
      </c>
      <c r="J13" s="682" t="s">
        <v>9</v>
      </c>
      <c r="K13" s="684" t="s">
        <v>10</v>
      </c>
      <c r="L13" s="684"/>
      <c r="M13" s="29"/>
      <c r="O13" s="11"/>
      <c r="P13" s="2"/>
    </row>
    <row r="14" spans="1:16" ht="13.5" customHeight="1">
      <c r="A14" s="1"/>
      <c r="C14" s="28"/>
      <c r="D14" s="673"/>
      <c r="E14" s="675"/>
      <c r="F14" s="675"/>
      <c r="G14" s="677"/>
      <c r="H14" s="679"/>
      <c r="I14" s="681"/>
      <c r="J14" s="683"/>
      <c r="K14" s="31" t="s">
        <v>11</v>
      </c>
      <c r="L14" s="32" t="s">
        <v>12</v>
      </c>
      <c r="M14" s="29"/>
      <c r="O14" s="11"/>
      <c r="P14" s="2"/>
    </row>
    <row r="15" spans="1:16" ht="13.5" customHeight="1">
      <c r="A15" s="1"/>
      <c r="C15" s="28"/>
      <c r="D15" s="685" t="s">
        <v>13</v>
      </c>
      <c r="E15" s="685"/>
      <c r="F15" s="685"/>
      <c r="G15" s="33"/>
      <c r="H15" s="34"/>
      <c r="I15" s="34"/>
      <c r="J15" s="34"/>
      <c r="K15" s="34"/>
      <c r="L15" s="35"/>
      <c r="M15" s="29"/>
      <c r="O15" s="11"/>
      <c r="P15" s="2"/>
    </row>
    <row r="16" spans="1:16" s="37" customFormat="1" ht="13.5" customHeight="1">
      <c r="A16" s="36"/>
      <c r="C16" s="28"/>
      <c r="D16" s="38" t="s">
        <v>14</v>
      </c>
      <c r="E16" s="39" t="s">
        <v>15</v>
      </c>
      <c r="F16" s="40" t="s">
        <v>16</v>
      </c>
      <c r="G16" s="41" t="s">
        <v>17</v>
      </c>
      <c r="H16" s="42">
        <v>2.5</v>
      </c>
      <c r="I16" s="43">
        <v>48</v>
      </c>
      <c r="J16" s="44">
        <v>520</v>
      </c>
      <c r="K16" s="45">
        <v>92.556516</v>
      </c>
      <c r="L16" s="46">
        <v>4442.712768</v>
      </c>
      <c r="M16" s="29"/>
      <c r="O16" s="47"/>
      <c r="P16" s="48"/>
    </row>
    <row r="17" spans="1:16" s="37" customFormat="1" ht="13.5" customHeight="1">
      <c r="A17" s="36"/>
      <c r="C17" s="28"/>
      <c r="D17" s="38" t="s">
        <v>18</v>
      </c>
      <c r="E17" s="39" t="s">
        <v>19</v>
      </c>
      <c r="F17" s="40" t="s">
        <v>16</v>
      </c>
      <c r="G17" s="41" t="s">
        <v>17</v>
      </c>
      <c r="H17" s="42">
        <v>2.5</v>
      </c>
      <c r="I17" s="43">
        <v>48</v>
      </c>
      <c r="J17" s="44">
        <v>520</v>
      </c>
      <c r="K17" s="45">
        <v>96.318976</v>
      </c>
      <c r="L17" s="46">
        <v>4623.310848</v>
      </c>
      <c r="M17" s="29"/>
      <c r="O17" s="47"/>
      <c r="P17" s="48"/>
    </row>
    <row r="18" spans="1:16" s="50" customFormat="1" ht="13.5" customHeight="1">
      <c r="A18" s="49"/>
      <c r="C18" s="51"/>
      <c r="D18" s="38" t="s">
        <v>20</v>
      </c>
      <c r="E18" s="39" t="s">
        <v>21</v>
      </c>
      <c r="F18" s="40" t="s">
        <v>16</v>
      </c>
      <c r="G18" s="41" t="s">
        <v>22</v>
      </c>
      <c r="H18" s="42">
        <v>2.5</v>
      </c>
      <c r="I18" s="43">
        <v>48</v>
      </c>
      <c r="J18" s="44">
        <v>520</v>
      </c>
      <c r="K18" s="45">
        <v>90.29904</v>
      </c>
      <c r="L18" s="46">
        <v>4334.3539200000005</v>
      </c>
      <c r="M18" s="52"/>
      <c r="N18" s="37"/>
      <c r="O18" s="53"/>
      <c r="P18" s="54"/>
    </row>
    <row r="19" spans="1:16" s="50" customFormat="1" ht="13.5" customHeight="1">
      <c r="A19" s="49"/>
      <c r="C19" s="51"/>
      <c r="D19" s="55" t="s">
        <v>23</v>
      </c>
      <c r="E19" s="39" t="s">
        <v>24</v>
      </c>
      <c r="F19" s="40" t="s">
        <v>16</v>
      </c>
      <c r="G19" s="41" t="s">
        <v>17</v>
      </c>
      <c r="H19" s="42">
        <v>2.5</v>
      </c>
      <c r="I19" s="43">
        <v>48</v>
      </c>
      <c r="J19" s="44">
        <v>520</v>
      </c>
      <c r="K19" s="45">
        <v>78.67303860000001</v>
      </c>
      <c r="L19" s="46">
        <v>3776.3058528000006</v>
      </c>
      <c r="M19" s="52"/>
      <c r="O19" s="53"/>
      <c r="P19" s="54"/>
    </row>
    <row r="20" spans="1:16" s="50" customFormat="1" ht="13.5" customHeight="1">
      <c r="A20" s="49"/>
      <c r="C20" s="51"/>
      <c r="D20" s="56" t="s">
        <v>25</v>
      </c>
      <c r="E20" s="39" t="s">
        <v>26</v>
      </c>
      <c r="F20" s="40" t="s">
        <v>27</v>
      </c>
      <c r="G20" s="57" t="s">
        <v>28</v>
      </c>
      <c r="H20" s="42">
        <v>2.25</v>
      </c>
      <c r="I20" s="43">
        <v>57</v>
      </c>
      <c r="J20" s="44">
        <v>468</v>
      </c>
      <c r="K20" s="45">
        <v>82.77412000000001</v>
      </c>
      <c r="L20" s="46">
        <v>4718.12484</v>
      </c>
      <c r="M20" s="52"/>
      <c r="O20" s="53"/>
      <c r="P20" s="54"/>
    </row>
    <row r="21" spans="1:16" s="50" customFormat="1" ht="13.5" customHeight="1">
      <c r="A21" s="49"/>
      <c r="C21" s="51"/>
      <c r="D21" s="56" t="s">
        <v>29</v>
      </c>
      <c r="E21" s="39" t="s">
        <v>30</v>
      </c>
      <c r="F21" s="40" t="s">
        <v>27</v>
      </c>
      <c r="G21" s="57" t="s">
        <v>28</v>
      </c>
      <c r="H21" s="42">
        <v>2.25</v>
      </c>
      <c r="I21" s="43">
        <v>57</v>
      </c>
      <c r="J21" s="44">
        <v>468</v>
      </c>
      <c r="K21" s="45">
        <v>82.77412000000001</v>
      </c>
      <c r="L21" s="46">
        <v>4718.12484</v>
      </c>
      <c r="M21" s="52"/>
      <c r="O21" s="53"/>
      <c r="P21" s="54"/>
    </row>
    <row r="22" spans="1:16" s="50" customFormat="1" ht="13.5" customHeight="1" thickBot="1">
      <c r="A22" s="49"/>
      <c r="C22" s="51"/>
      <c r="D22" s="56" t="s">
        <v>31</v>
      </c>
      <c r="E22" s="39" t="s">
        <v>32</v>
      </c>
      <c r="F22" s="40" t="s">
        <v>27</v>
      </c>
      <c r="G22" s="57" t="s">
        <v>28</v>
      </c>
      <c r="H22" s="42">
        <v>2.25</v>
      </c>
      <c r="I22" s="43">
        <v>57</v>
      </c>
      <c r="J22" s="44">
        <v>468</v>
      </c>
      <c r="K22" s="45">
        <v>82.77412000000001</v>
      </c>
      <c r="L22" s="46">
        <v>4718.12484</v>
      </c>
      <c r="M22" s="52"/>
      <c r="O22" s="53"/>
      <c r="P22" s="54"/>
    </row>
    <row r="23" spans="1:16" ht="7.5" customHeight="1" thickTop="1">
      <c r="A23" s="1"/>
      <c r="C23" s="19"/>
      <c r="D23" s="20"/>
      <c r="E23" s="21"/>
      <c r="F23" s="22"/>
      <c r="G23" s="23"/>
      <c r="H23" s="23"/>
      <c r="I23" s="24"/>
      <c r="J23" s="24"/>
      <c r="K23" s="25"/>
      <c r="L23" s="26"/>
      <c r="M23" s="27"/>
      <c r="O23" s="11"/>
      <c r="P23" s="2"/>
    </row>
    <row r="24" spans="1:16" s="37" customFormat="1" ht="13.5" customHeight="1">
      <c r="A24" s="36"/>
      <c r="C24" s="28"/>
      <c r="D24" s="672" t="s">
        <v>3</v>
      </c>
      <c r="E24" s="674" t="s">
        <v>4</v>
      </c>
      <c r="F24" s="674" t="s">
        <v>5</v>
      </c>
      <c r="G24" s="676" t="s">
        <v>6</v>
      </c>
      <c r="H24" s="678" t="s">
        <v>7</v>
      </c>
      <c r="I24" s="680" t="s">
        <v>8</v>
      </c>
      <c r="J24" s="682" t="s">
        <v>9</v>
      </c>
      <c r="K24" s="684" t="s">
        <v>10</v>
      </c>
      <c r="L24" s="684"/>
      <c r="M24" s="29"/>
      <c r="O24" s="47"/>
      <c r="P24" s="48"/>
    </row>
    <row r="25" spans="1:16" s="37" customFormat="1" ht="13.5" customHeight="1">
      <c r="A25" s="36"/>
      <c r="C25" s="28"/>
      <c r="D25" s="673"/>
      <c r="E25" s="675"/>
      <c r="F25" s="675"/>
      <c r="G25" s="677"/>
      <c r="H25" s="679"/>
      <c r="I25" s="681"/>
      <c r="J25" s="683"/>
      <c r="K25" s="31" t="s">
        <v>11</v>
      </c>
      <c r="L25" s="32" t="s">
        <v>12</v>
      </c>
      <c r="M25" s="29"/>
      <c r="O25" s="47"/>
      <c r="P25" s="48"/>
    </row>
    <row r="26" spans="1:16" s="59" customFormat="1" ht="18.75" customHeight="1">
      <c r="A26" s="58"/>
      <c r="C26" s="60"/>
      <c r="D26" s="61" t="s">
        <v>33</v>
      </c>
      <c r="E26" s="62"/>
      <c r="F26" s="63"/>
      <c r="G26" s="64"/>
      <c r="H26" s="64"/>
      <c r="I26" s="64"/>
      <c r="J26" s="64"/>
      <c r="K26" s="64"/>
      <c r="L26" s="64"/>
      <c r="M26" s="65"/>
      <c r="O26" s="66"/>
      <c r="P26" s="58"/>
    </row>
    <row r="27" spans="1:16" s="50" customFormat="1" ht="13.5" customHeight="1" hidden="1">
      <c r="A27" s="49"/>
      <c r="C27" s="51"/>
      <c r="D27" s="56" t="s">
        <v>34</v>
      </c>
      <c r="E27" s="686" t="s">
        <v>15</v>
      </c>
      <c r="F27" s="67" t="s">
        <v>35</v>
      </c>
      <c r="G27" s="41" t="s">
        <v>17</v>
      </c>
      <c r="H27" s="42">
        <v>1.25</v>
      </c>
      <c r="I27" s="43">
        <v>64</v>
      </c>
      <c r="J27" s="44">
        <v>1008</v>
      </c>
      <c r="K27" s="689">
        <v>0</v>
      </c>
      <c r="L27" s="689"/>
      <c r="M27" s="52"/>
      <c r="O27" s="53"/>
      <c r="P27" s="54"/>
    </row>
    <row r="28" spans="1:16" s="50" customFormat="1" ht="13.5" customHeight="1" hidden="1">
      <c r="A28" s="49"/>
      <c r="C28" s="51"/>
      <c r="D28" s="56" t="s">
        <v>36</v>
      </c>
      <c r="E28" s="687"/>
      <c r="F28" s="69" t="s">
        <v>37</v>
      </c>
      <c r="G28" s="41" t="s">
        <v>17</v>
      </c>
      <c r="H28" s="42">
        <v>2.15</v>
      </c>
      <c r="I28" s="43">
        <v>64</v>
      </c>
      <c r="J28" s="44">
        <v>576</v>
      </c>
      <c r="K28" s="45">
        <v>0</v>
      </c>
      <c r="L28" s="46">
        <v>0</v>
      </c>
      <c r="M28" s="52"/>
      <c r="O28" s="53"/>
      <c r="P28" s="54"/>
    </row>
    <row r="29" spans="1:16" s="37" customFormat="1" ht="13.5" customHeight="1">
      <c r="A29" s="36"/>
      <c r="C29" s="28"/>
      <c r="D29" s="38" t="s">
        <v>38</v>
      </c>
      <c r="E29" s="687"/>
      <c r="F29" s="40" t="s">
        <v>39</v>
      </c>
      <c r="G29" s="41" t="s">
        <v>17</v>
      </c>
      <c r="H29" s="42">
        <v>3</v>
      </c>
      <c r="I29" s="43">
        <v>48</v>
      </c>
      <c r="J29" s="44">
        <v>416</v>
      </c>
      <c r="K29" s="45">
        <v>123.408688</v>
      </c>
      <c r="L29" s="46">
        <v>5923.617024</v>
      </c>
      <c r="M29" s="29"/>
      <c r="O29" s="47"/>
      <c r="P29" s="48"/>
    </row>
    <row r="30" spans="1:16" s="50" customFormat="1" ht="13.5" customHeight="1" hidden="1">
      <c r="A30" s="49"/>
      <c r="C30" s="51"/>
      <c r="D30" s="56" t="s">
        <v>40</v>
      </c>
      <c r="E30" s="688"/>
      <c r="F30" s="70" t="s">
        <v>41</v>
      </c>
      <c r="G30" s="41" t="s">
        <v>17</v>
      </c>
      <c r="H30" s="42">
        <v>2.5</v>
      </c>
      <c r="I30" s="43">
        <v>48</v>
      </c>
      <c r="J30" s="44">
        <v>520</v>
      </c>
      <c r="K30" s="45">
        <v>0</v>
      </c>
      <c r="L30" s="46">
        <v>0</v>
      </c>
      <c r="M30" s="52"/>
      <c r="O30" s="53"/>
      <c r="P30" s="54"/>
    </row>
    <row r="31" spans="1:16" s="37" customFormat="1" ht="13.5" customHeight="1">
      <c r="A31" s="36"/>
      <c r="C31" s="28"/>
      <c r="D31" s="56" t="s">
        <v>42</v>
      </c>
      <c r="E31" s="39" t="s">
        <v>43</v>
      </c>
      <c r="F31" s="40" t="s">
        <v>39</v>
      </c>
      <c r="G31" s="41" t="s">
        <v>17</v>
      </c>
      <c r="H31" s="42">
        <v>3</v>
      </c>
      <c r="I31" s="43">
        <v>48</v>
      </c>
      <c r="J31" s="44">
        <v>416</v>
      </c>
      <c r="K31" s="45">
        <v>125.666164</v>
      </c>
      <c r="L31" s="46">
        <v>6031.975872</v>
      </c>
      <c r="M31" s="29"/>
      <c r="O31" s="47"/>
      <c r="P31" s="48"/>
    </row>
    <row r="32" spans="1:16" s="37" customFormat="1" ht="13.5" customHeight="1" hidden="1">
      <c r="A32" s="36"/>
      <c r="C32" s="28"/>
      <c r="D32" s="55" t="s">
        <v>44</v>
      </c>
      <c r="E32" s="71" t="s">
        <v>45</v>
      </c>
      <c r="F32" s="40" t="s">
        <v>39</v>
      </c>
      <c r="G32" s="41" t="s">
        <v>17</v>
      </c>
      <c r="H32" s="42"/>
      <c r="I32" s="43"/>
      <c r="J32" s="44"/>
      <c r="K32" s="45"/>
      <c r="L32" s="46">
        <v>0</v>
      </c>
      <c r="M32" s="29"/>
      <c r="O32" s="47"/>
      <c r="P32" s="48"/>
    </row>
    <row r="33" spans="1:16" s="37" customFormat="1" ht="13.5" customHeight="1">
      <c r="A33" s="36"/>
      <c r="C33" s="28"/>
      <c r="D33" s="72" t="s">
        <v>46</v>
      </c>
      <c r="E33" s="686" t="s">
        <v>47</v>
      </c>
      <c r="F33" s="40" t="s">
        <v>39</v>
      </c>
      <c r="G33" s="41" t="s">
        <v>17</v>
      </c>
      <c r="H33" s="42">
        <v>3</v>
      </c>
      <c r="I33" s="43">
        <v>48</v>
      </c>
      <c r="J33" s="44">
        <v>416</v>
      </c>
      <c r="K33" s="45">
        <v>124.16118</v>
      </c>
      <c r="L33" s="46">
        <v>5959.73664</v>
      </c>
      <c r="M33" s="29"/>
      <c r="O33" s="47"/>
      <c r="P33" s="48"/>
    </row>
    <row r="34" spans="1:16" s="50" customFormat="1" ht="13.5" customHeight="1" hidden="1">
      <c r="A34" s="49"/>
      <c r="C34" s="51"/>
      <c r="D34" s="56" t="s">
        <v>48</v>
      </c>
      <c r="E34" s="688"/>
      <c r="F34" s="70" t="s">
        <v>41</v>
      </c>
      <c r="G34" s="41" t="s">
        <v>17</v>
      </c>
      <c r="H34" s="42">
        <v>4.8</v>
      </c>
      <c r="I34" s="43">
        <v>32</v>
      </c>
      <c r="J34" s="44">
        <v>256</v>
      </c>
      <c r="K34" s="45">
        <v>0</v>
      </c>
      <c r="L34" s="46">
        <v>0</v>
      </c>
      <c r="M34" s="52"/>
      <c r="O34" s="53"/>
      <c r="P34" s="54"/>
    </row>
    <row r="35" spans="1:16" s="37" customFormat="1" ht="13.5" customHeight="1">
      <c r="A35" s="36"/>
      <c r="C35" s="28"/>
      <c r="D35" s="38" t="s">
        <v>49</v>
      </c>
      <c r="E35" s="71" t="s">
        <v>19</v>
      </c>
      <c r="F35" s="40" t="s">
        <v>39</v>
      </c>
      <c r="G35" s="41" t="s">
        <v>17</v>
      </c>
      <c r="H35" s="42">
        <v>3</v>
      </c>
      <c r="I35" s="43">
        <v>48</v>
      </c>
      <c r="J35" s="44">
        <v>416</v>
      </c>
      <c r="K35" s="45">
        <v>126.418656</v>
      </c>
      <c r="L35" s="46">
        <v>6068.095488</v>
      </c>
      <c r="M35" s="29"/>
      <c r="O35" s="47"/>
      <c r="P35" s="48"/>
    </row>
    <row r="36" spans="1:16" s="50" customFormat="1" ht="13.5" customHeight="1" hidden="1">
      <c r="A36" s="49"/>
      <c r="C36" s="51"/>
      <c r="D36" s="56" t="s">
        <v>50</v>
      </c>
      <c r="E36" s="686" t="s">
        <v>51</v>
      </c>
      <c r="F36" s="69" t="s">
        <v>37</v>
      </c>
      <c r="G36" s="41" t="s">
        <v>17</v>
      </c>
      <c r="H36" s="42">
        <v>2.16</v>
      </c>
      <c r="I36" s="43">
        <v>64</v>
      </c>
      <c r="J36" s="44">
        <v>576</v>
      </c>
      <c r="K36" s="45">
        <v>0</v>
      </c>
      <c r="L36" s="46">
        <v>0</v>
      </c>
      <c r="M36" s="52"/>
      <c r="N36" s="37"/>
      <c r="O36" s="53"/>
      <c r="P36" s="54"/>
    </row>
    <row r="37" spans="1:16" s="37" customFormat="1" ht="13.5" customHeight="1">
      <c r="A37" s="36"/>
      <c r="C37" s="28"/>
      <c r="D37" s="56" t="s">
        <v>52</v>
      </c>
      <c r="E37" s="687"/>
      <c r="F37" s="40" t="s">
        <v>39</v>
      </c>
      <c r="G37" s="41" t="s">
        <v>17</v>
      </c>
      <c r="H37" s="42">
        <v>3</v>
      </c>
      <c r="I37" s="43">
        <v>48</v>
      </c>
      <c r="J37" s="44">
        <v>416</v>
      </c>
      <c r="K37" s="45">
        <v>121.15121200000002</v>
      </c>
      <c r="L37" s="46">
        <v>5815.258176000001</v>
      </c>
      <c r="M37" s="29"/>
      <c r="O37" s="47"/>
      <c r="P37" s="48"/>
    </row>
    <row r="38" spans="1:16" s="37" customFormat="1" ht="13.5" customHeight="1" hidden="1">
      <c r="A38" s="36"/>
      <c r="C38" s="28"/>
      <c r="D38" s="56" t="s">
        <v>53</v>
      </c>
      <c r="E38" s="688"/>
      <c r="F38" s="40" t="s">
        <v>16</v>
      </c>
      <c r="G38" s="41" t="s">
        <v>17</v>
      </c>
      <c r="H38" s="42">
        <v>2.5</v>
      </c>
      <c r="I38" s="43">
        <v>48</v>
      </c>
      <c r="J38" s="44">
        <v>520</v>
      </c>
      <c r="K38" s="45">
        <v>0</v>
      </c>
      <c r="L38" s="46">
        <v>0</v>
      </c>
      <c r="M38" s="29"/>
      <c r="O38" s="47"/>
      <c r="P38" s="48"/>
    </row>
    <row r="39" spans="1:16" s="50" customFormat="1" ht="13.5" customHeight="1" hidden="1">
      <c r="A39" s="49"/>
      <c r="C39" s="51"/>
      <c r="D39" s="56" t="s">
        <v>54</v>
      </c>
      <c r="E39" s="686" t="s">
        <v>21</v>
      </c>
      <c r="F39" s="69" t="s">
        <v>37</v>
      </c>
      <c r="G39" s="41" t="s">
        <v>22</v>
      </c>
      <c r="H39" s="42">
        <v>2.15</v>
      </c>
      <c r="I39" s="43">
        <v>64</v>
      </c>
      <c r="J39" s="44">
        <v>576</v>
      </c>
      <c r="K39" s="45">
        <v>0</v>
      </c>
      <c r="L39" s="46">
        <v>0</v>
      </c>
      <c r="M39" s="52"/>
      <c r="N39" s="37"/>
      <c r="O39" s="53"/>
      <c r="P39" s="54"/>
    </row>
    <row r="40" spans="1:16" s="37" customFormat="1" ht="13.5" customHeight="1">
      <c r="A40" s="36"/>
      <c r="C40" s="28"/>
      <c r="D40" s="56" t="s">
        <v>55</v>
      </c>
      <c r="E40" s="688"/>
      <c r="F40" s="40" t="s">
        <v>39</v>
      </c>
      <c r="G40" s="41" t="s">
        <v>22</v>
      </c>
      <c r="H40" s="42">
        <v>2.9</v>
      </c>
      <c r="I40" s="43">
        <v>48</v>
      </c>
      <c r="J40" s="44">
        <v>416</v>
      </c>
      <c r="K40" s="45">
        <v>118.893736</v>
      </c>
      <c r="L40" s="46">
        <v>5706.899328</v>
      </c>
      <c r="M40" s="29"/>
      <c r="O40" s="47"/>
      <c r="P40" s="48"/>
    </row>
    <row r="41" spans="1:16" s="50" customFormat="1" ht="13.5" customHeight="1" hidden="1">
      <c r="A41" s="49"/>
      <c r="C41" s="51"/>
      <c r="D41" s="56" t="s">
        <v>56</v>
      </c>
      <c r="E41" s="686" t="s">
        <v>57</v>
      </c>
      <c r="F41" s="69" t="s">
        <v>37</v>
      </c>
      <c r="G41" s="41" t="s">
        <v>22</v>
      </c>
      <c r="H41" s="42">
        <v>2.15</v>
      </c>
      <c r="I41" s="43">
        <v>64</v>
      </c>
      <c r="J41" s="44">
        <v>576</v>
      </c>
      <c r="K41" s="45">
        <v>0</v>
      </c>
      <c r="L41" s="46">
        <v>0</v>
      </c>
      <c r="M41" s="52"/>
      <c r="N41" s="37"/>
      <c r="O41" s="53"/>
      <c r="P41" s="54"/>
    </row>
    <row r="42" spans="1:16" s="37" customFormat="1" ht="13.5" customHeight="1">
      <c r="A42" s="36"/>
      <c r="C42" s="28"/>
      <c r="D42" s="56" t="s">
        <v>58</v>
      </c>
      <c r="E42" s="688"/>
      <c r="F42" s="40" t="s">
        <v>39</v>
      </c>
      <c r="G42" s="73" t="s">
        <v>22</v>
      </c>
      <c r="H42" s="42">
        <v>3</v>
      </c>
      <c r="I42" s="43">
        <v>48</v>
      </c>
      <c r="J42" s="44">
        <v>416</v>
      </c>
      <c r="K42" s="45">
        <v>121.15121200000002</v>
      </c>
      <c r="L42" s="46">
        <v>5815.258176000001</v>
      </c>
      <c r="M42" s="29"/>
      <c r="O42" s="47"/>
      <c r="P42" s="48"/>
    </row>
    <row r="43" spans="1:16" s="59" customFormat="1" ht="18.75" customHeight="1">
      <c r="A43" s="58"/>
      <c r="C43" s="60"/>
      <c r="D43" s="690" t="s">
        <v>59</v>
      </c>
      <c r="E43" s="690"/>
      <c r="F43" s="63"/>
      <c r="G43" s="64"/>
      <c r="H43" s="45"/>
      <c r="I43" s="74"/>
      <c r="J43" s="74"/>
      <c r="K43" s="45"/>
      <c r="L43" s="46"/>
      <c r="M43" s="65"/>
      <c r="N43" s="37"/>
      <c r="O43" s="66"/>
      <c r="P43" s="58"/>
    </row>
    <row r="44" spans="1:16" s="50" customFormat="1" ht="13.5" customHeight="1" hidden="1">
      <c r="A44" s="49"/>
      <c r="C44" s="51"/>
      <c r="D44" s="56" t="s">
        <v>60</v>
      </c>
      <c r="E44" s="686" t="s">
        <v>61</v>
      </c>
      <c r="F44" s="40" t="s">
        <v>39</v>
      </c>
      <c r="G44" s="73" t="s">
        <v>22</v>
      </c>
      <c r="H44" s="42">
        <v>2.9</v>
      </c>
      <c r="I44" s="43">
        <v>48</v>
      </c>
      <c r="J44" s="44">
        <v>416</v>
      </c>
      <c r="K44" s="45">
        <v>0</v>
      </c>
      <c r="L44" s="46">
        <v>0</v>
      </c>
      <c r="M44" s="52"/>
      <c r="N44" s="37"/>
      <c r="O44" s="53"/>
      <c r="P44" s="54"/>
    </row>
    <row r="45" spans="1:16" s="50" customFormat="1" ht="13.5" customHeight="1" hidden="1">
      <c r="A45" s="49"/>
      <c r="C45" s="51"/>
      <c r="D45" s="56" t="s">
        <v>62</v>
      </c>
      <c r="E45" s="687"/>
      <c r="F45" s="67" t="s">
        <v>35</v>
      </c>
      <c r="G45" s="57" t="s">
        <v>28</v>
      </c>
      <c r="H45" s="42">
        <v>1.25</v>
      </c>
      <c r="I45" s="43">
        <v>64</v>
      </c>
      <c r="J45" s="44">
        <v>1008</v>
      </c>
      <c r="K45" s="68">
        <v>0</v>
      </c>
      <c r="L45" s="75">
        <v>0</v>
      </c>
      <c r="M45" s="52"/>
      <c r="N45" s="37"/>
      <c r="O45" s="53"/>
      <c r="P45" s="54"/>
    </row>
    <row r="46" spans="1:16" s="50" customFormat="1" ht="13.5" customHeight="1" hidden="1">
      <c r="A46" s="49"/>
      <c r="C46" s="51"/>
      <c r="D46" s="72" t="s">
        <v>63</v>
      </c>
      <c r="E46" s="687"/>
      <c r="F46" s="69" t="s">
        <v>37</v>
      </c>
      <c r="G46" s="57" t="s">
        <v>28</v>
      </c>
      <c r="H46" s="42">
        <v>2.15</v>
      </c>
      <c r="I46" s="43">
        <v>64</v>
      </c>
      <c r="J46" s="44">
        <v>576</v>
      </c>
      <c r="K46" s="45">
        <v>0</v>
      </c>
      <c r="L46" s="46">
        <v>0</v>
      </c>
      <c r="M46" s="52"/>
      <c r="N46" s="37"/>
      <c r="O46" s="53"/>
      <c r="P46" s="54"/>
    </row>
    <row r="47" spans="1:16" s="50" customFormat="1" ht="13.5" customHeight="1">
      <c r="A47" s="49"/>
      <c r="C47" s="51"/>
      <c r="D47" s="56" t="s">
        <v>64</v>
      </c>
      <c r="E47" s="688"/>
      <c r="F47" s="40" t="s">
        <v>16</v>
      </c>
      <c r="G47" s="73" t="s">
        <v>22</v>
      </c>
      <c r="H47" s="42">
        <v>2.5</v>
      </c>
      <c r="I47" s="43">
        <v>48</v>
      </c>
      <c r="J47" s="44">
        <v>520</v>
      </c>
      <c r="K47" s="45">
        <v>90.29904</v>
      </c>
      <c r="L47" s="46">
        <v>4334.3539200000005</v>
      </c>
      <c r="M47" s="52"/>
      <c r="N47" s="37"/>
      <c r="O47" s="53"/>
      <c r="P47" s="54"/>
    </row>
    <row r="48" spans="1:16" s="50" customFormat="1" ht="13.5" customHeight="1">
      <c r="A48" s="49"/>
      <c r="C48" s="51"/>
      <c r="D48" s="56" t="s">
        <v>65</v>
      </c>
      <c r="E48" s="686" t="s">
        <v>66</v>
      </c>
      <c r="F48" s="40" t="s">
        <v>16</v>
      </c>
      <c r="G48" s="57" t="s">
        <v>28</v>
      </c>
      <c r="H48" s="42">
        <v>2.5</v>
      </c>
      <c r="I48" s="43">
        <v>48</v>
      </c>
      <c r="J48" s="44">
        <v>520</v>
      </c>
      <c r="K48" s="45">
        <v>90.29904</v>
      </c>
      <c r="L48" s="46">
        <v>4334.3539200000005</v>
      </c>
      <c r="M48" s="52"/>
      <c r="N48" s="37"/>
      <c r="O48" s="53"/>
      <c r="P48" s="54"/>
    </row>
    <row r="49" spans="1:16" s="37" customFormat="1" ht="13.5" customHeight="1">
      <c r="A49" s="36"/>
      <c r="C49" s="28"/>
      <c r="D49" s="56" t="s">
        <v>67</v>
      </c>
      <c r="E49" s="687"/>
      <c r="F49" s="40" t="s">
        <v>39</v>
      </c>
      <c r="G49" s="57" t="s">
        <v>28</v>
      </c>
      <c r="H49" s="42">
        <v>2.9</v>
      </c>
      <c r="I49" s="43">
        <v>48</v>
      </c>
      <c r="J49" s="44">
        <v>416</v>
      </c>
      <c r="K49" s="45">
        <v>117.38875200000001</v>
      </c>
      <c r="L49" s="46">
        <v>5634.6600960000005</v>
      </c>
      <c r="M49" s="29"/>
      <c r="O49" s="47"/>
      <c r="P49" s="48"/>
    </row>
    <row r="50" spans="1:16" s="50" customFormat="1" ht="13.5" customHeight="1" hidden="1">
      <c r="A50" s="49"/>
      <c r="C50" s="51"/>
      <c r="D50" s="56" t="s">
        <v>68</v>
      </c>
      <c r="E50" s="686" t="s">
        <v>69</v>
      </c>
      <c r="F50" s="40" t="s">
        <v>70</v>
      </c>
      <c r="G50" s="57" t="s">
        <v>28</v>
      </c>
      <c r="H50" s="42">
        <v>2.5</v>
      </c>
      <c r="I50" s="43">
        <v>48</v>
      </c>
      <c r="J50" s="44">
        <v>520</v>
      </c>
      <c r="K50" s="45">
        <v>0</v>
      </c>
      <c r="L50" s="46">
        <v>0</v>
      </c>
      <c r="M50" s="52"/>
      <c r="N50" s="37"/>
      <c r="O50" s="53"/>
      <c r="P50" s="54"/>
    </row>
    <row r="51" spans="1:16" s="37" customFormat="1" ht="13.5" customHeight="1">
      <c r="A51" s="36"/>
      <c r="C51" s="28"/>
      <c r="D51" s="56" t="s">
        <v>71</v>
      </c>
      <c r="E51" s="688"/>
      <c r="F51" s="40" t="s">
        <v>39</v>
      </c>
      <c r="G51" s="57" t="s">
        <v>28</v>
      </c>
      <c r="H51" s="42">
        <v>2.9</v>
      </c>
      <c r="I51" s="43">
        <v>48</v>
      </c>
      <c r="J51" s="44">
        <v>416</v>
      </c>
      <c r="K51" s="45">
        <v>117.38875200000001</v>
      </c>
      <c r="L51" s="46">
        <v>5634.6600960000005</v>
      </c>
      <c r="M51" s="29"/>
      <c r="O51" s="47"/>
      <c r="P51" s="48"/>
    </row>
    <row r="52" spans="1:16" s="50" customFormat="1" ht="13.5" customHeight="1">
      <c r="A52" s="49"/>
      <c r="C52" s="51"/>
      <c r="D52" s="56" t="s">
        <v>72</v>
      </c>
      <c r="E52" s="687" t="s">
        <v>73</v>
      </c>
      <c r="F52" s="69" t="s">
        <v>37</v>
      </c>
      <c r="G52" s="41" t="s">
        <v>17</v>
      </c>
      <c r="H52" s="42">
        <v>2.15</v>
      </c>
      <c r="I52" s="43">
        <v>64</v>
      </c>
      <c r="J52" s="44">
        <v>576</v>
      </c>
      <c r="K52" s="45">
        <v>104.59638799999999</v>
      </c>
      <c r="L52" s="46">
        <v>6694.168831999999</v>
      </c>
      <c r="M52" s="52"/>
      <c r="O52" s="53"/>
      <c r="P52" s="54"/>
    </row>
    <row r="53" spans="1:16" s="50" customFormat="1" ht="13.5" customHeight="1" hidden="1">
      <c r="A53" s="49"/>
      <c r="C53" s="51"/>
      <c r="D53" s="56" t="s">
        <v>74</v>
      </c>
      <c r="E53" s="687"/>
      <c r="F53" s="40" t="s">
        <v>35</v>
      </c>
      <c r="G53" s="41" t="s">
        <v>17</v>
      </c>
      <c r="H53" s="42">
        <v>1.25</v>
      </c>
      <c r="I53" s="43">
        <v>64</v>
      </c>
      <c r="J53" s="44">
        <v>1008</v>
      </c>
      <c r="K53" s="45">
        <v>0</v>
      </c>
      <c r="L53" s="46">
        <v>0</v>
      </c>
      <c r="M53" s="52"/>
      <c r="O53" s="53"/>
      <c r="P53" s="54"/>
    </row>
    <row r="54" spans="1:16" s="50" customFormat="1" ht="13.5" customHeight="1">
      <c r="A54" s="49"/>
      <c r="C54" s="51"/>
      <c r="D54" s="56" t="s">
        <v>75</v>
      </c>
      <c r="E54" s="687"/>
      <c r="F54" s="69" t="s">
        <v>76</v>
      </c>
      <c r="G54" s="41" t="s">
        <v>17</v>
      </c>
      <c r="H54" s="42">
        <v>2.7</v>
      </c>
      <c r="I54" s="43">
        <v>54</v>
      </c>
      <c r="J54" s="44">
        <v>448</v>
      </c>
      <c r="K54" s="45">
        <v>112.121308</v>
      </c>
      <c r="L54" s="46">
        <v>6054.550632</v>
      </c>
      <c r="M54" s="52"/>
      <c r="O54" s="53"/>
      <c r="P54" s="54"/>
    </row>
    <row r="55" spans="1:16" s="50" customFormat="1" ht="13.5" customHeight="1" hidden="1">
      <c r="A55" s="49"/>
      <c r="C55" s="51"/>
      <c r="D55" s="56" t="s">
        <v>77</v>
      </c>
      <c r="E55" s="687"/>
      <c r="F55" s="69" t="s">
        <v>78</v>
      </c>
      <c r="G55" s="41" t="s">
        <v>17</v>
      </c>
      <c r="H55" s="42">
        <v>1.7</v>
      </c>
      <c r="I55" s="43">
        <v>48</v>
      </c>
      <c r="J55" s="44">
        <v>728</v>
      </c>
      <c r="K55" s="45">
        <v>0</v>
      </c>
      <c r="L55" s="46">
        <v>0</v>
      </c>
      <c r="M55" s="52"/>
      <c r="O55" s="53"/>
      <c r="P55" s="54"/>
    </row>
    <row r="56" spans="1:16" s="50" customFormat="1" ht="13.5" customHeight="1" hidden="1">
      <c r="A56" s="49"/>
      <c r="C56" s="51"/>
      <c r="D56" s="55" t="s">
        <v>79</v>
      </c>
      <c r="E56" s="687"/>
      <c r="F56" s="40" t="s">
        <v>70</v>
      </c>
      <c r="G56" s="41" t="s">
        <v>17</v>
      </c>
      <c r="H56" s="42">
        <v>2.5</v>
      </c>
      <c r="I56" s="43">
        <v>48</v>
      </c>
      <c r="J56" s="44">
        <v>520</v>
      </c>
      <c r="K56" s="45">
        <v>0</v>
      </c>
      <c r="L56" s="46">
        <v>0</v>
      </c>
      <c r="M56" s="52"/>
      <c r="O56" s="53"/>
      <c r="P56" s="54"/>
    </row>
    <row r="57" spans="1:16" s="50" customFormat="1" ht="13.5" customHeight="1">
      <c r="A57" s="49"/>
      <c r="C57" s="51"/>
      <c r="D57" s="56" t="s">
        <v>80</v>
      </c>
      <c r="E57" s="687"/>
      <c r="F57" s="40" t="s">
        <v>39</v>
      </c>
      <c r="G57" s="41" t="s">
        <v>17</v>
      </c>
      <c r="H57" s="42">
        <v>2.9</v>
      </c>
      <c r="I57" s="43">
        <v>48</v>
      </c>
      <c r="J57" s="44">
        <v>416</v>
      </c>
      <c r="K57" s="45">
        <v>118.893736</v>
      </c>
      <c r="L57" s="46">
        <v>5706.899328</v>
      </c>
      <c r="M57" s="52"/>
      <c r="O57" s="53"/>
      <c r="P57" s="54"/>
    </row>
    <row r="58" spans="1:16" s="50" customFormat="1" ht="13.5" customHeight="1" hidden="1">
      <c r="A58" s="49"/>
      <c r="C58" s="51"/>
      <c r="D58" s="55" t="s">
        <v>81</v>
      </c>
      <c r="E58" s="688"/>
      <c r="F58" s="70" t="s">
        <v>41</v>
      </c>
      <c r="G58" s="41" t="s">
        <v>17</v>
      </c>
      <c r="H58" s="42">
        <v>4.8</v>
      </c>
      <c r="I58" s="43">
        <v>32</v>
      </c>
      <c r="J58" s="44">
        <v>256</v>
      </c>
      <c r="K58" s="45">
        <v>0</v>
      </c>
      <c r="L58" s="46">
        <v>0</v>
      </c>
      <c r="M58" s="52"/>
      <c r="O58" s="53"/>
      <c r="P58" s="54"/>
    </row>
    <row r="59" spans="1:16" s="50" customFormat="1" ht="13.5" customHeight="1">
      <c r="A59" s="49"/>
      <c r="C59" s="51"/>
      <c r="D59" s="56" t="s">
        <v>82</v>
      </c>
      <c r="E59" s="76" t="s">
        <v>83</v>
      </c>
      <c r="F59" s="40" t="s">
        <v>39</v>
      </c>
      <c r="G59" s="41" t="s">
        <v>22</v>
      </c>
      <c r="H59" s="42">
        <v>2.9</v>
      </c>
      <c r="I59" s="43">
        <v>48</v>
      </c>
      <c r="J59" s="44">
        <v>416</v>
      </c>
      <c r="K59" s="45">
        <v>121.15121200000002</v>
      </c>
      <c r="L59" s="46">
        <v>5815.258176000001</v>
      </c>
      <c r="M59" s="52"/>
      <c r="O59" s="53"/>
      <c r="P59" s="54"/>
    </row>
    <row r="60" spans="1:16" s="50" customFormat="1" ht="13.5" customHeight="1" hidden="1">
      <c r="A60" s="49"/>
      <c r="C60" s="51"/>
      <c r="D60" s="38" t="s">
        <v>84</v>
      </c>
      <c r="E60" s="687" t="s">
        <v>85</v>
      </c>
      <c r="F60" s="69" t="s">
        <v>37</v>
      </c>
      <c r="G60" s="57" t="s">
        <v>28</v>
      </c>
      <c r="H60" s="42">
        <v>2.15</v>
      </c>
      <c r="I60" s="43">
        <v>64</v>
      </c>
      <c r="J60" s="44">
        <v>576</v>
      </c>
      <c r="K60" s="45">
        <v>0</v>
      </c>
      <c r="L60" s="46">
        <v>0</v>
      </c>
      <c r="M60" s="52"/>
      <c r="O60" s="53"/>
      <c r="P60" s="54"/>
    </row>
    <row r="61" spans="1:16" s="37" customFormat="1" ht="13.5" customHeight="1" hidden="1">
      <c r="A61" s="36"/>
      <c r="C61" s="28"/>
      <c r="D61" s="38" t="s">
        <v>86</v>
      </c>
      <c r="E61" s="687"/>
      <c r="F61" s="40" t="s">
        <v>70</v>
      </c>
      <c r="G61" s="57" t="s">
        <v>28</v>
      </c>
      <c r="H61" s="42">
        <v>2.5</v>
      </c>
      <c r="I61" s="43">
        <v>48</v>
      </c>
      <c r="J61" s="44">
        <v>520</v>
      </c>
      <c r="K61" s="45">
        <v>0</v>
      </c>
      <c r="L61" s="46">
        <v>0</v>
      </c>
      <c r="M61" s="29"/>
      <c r="O61" s="47"/>
      <c r="P61" s="48"/>
    </row>
    <row r="62" spans="1:16" s="37" customFormat="1" ht="13.5" customHeight="1">
      <c r="A62" s="36"/>
      <c r="C62" s="28"/>
      <c r="D62" s="56" t="s">
        <v>87</v>
      </c>
      <c r="E62" s="688"/>
      <c r="F62" s="40" t="s">
        <v>39</v>
      </c>
      <c r="G62" s="57" t="s">
        <v>28</v>
      </c>
      <c r="H62" s="42">
        <v>2.9</v>
      </c>
      <c r="I62" s="43">
        <v>48</v>
      </c>
      <c r="J62" s="44">
        <v>416</v>
      </c>
      <c r="K62" s="45">
        <v>117.38875200000001</v>
      </c>
      <c r="L62" s="46">
        <v>5634.6600960000005</v>
      </c>
      <c r="M62" s="29"/>
      <c r="O62" s="47"/>
      <c r="P62" s="48"/>
    </row>
    <row r="63" spans="1:16" s="50" customFormat="1" ht="13.5" customHeight="1" hidden="1">
      <c r="A63" s="49"/>
      <c r="C63" s="51"/>
      <c r="D63" s="55" t="s">
        <v>88</v>
      </c>
      <c r="E63" s="687" t="s">
        <v>89</v>
      </c>
      <c r="F63" s="69" t="s">
        <v>37</v>
      </c>
      <c r="G63" s="41" t="s">
        <v>22</v>
      </c>
      <c r="H63" s="42">
        <v>2.15</v>
      </c>
      <c r="I63" s="43">
        <v>64</v>
      </c>
      <c r="J63" s="44">
        <v>576</v>
      </c>
      <c r="K63" s="45">
        <v>0</v>
      </c>
      <c r="L63" s="46">
        <v>0</v>
      </c>
      <c r="M63" s="52"/>
      <c r="O63" s="53"/>
      <c r="P63" s="54"/>
    </row>
    <row r="64" spans="1:16" s="37" customFormat="1" ht="13.5" customHeight="1" hidden="1">
      <c r="A64" s="36"/>
      <c r="C64" s="28"/>
      <c r="D64" s="56" t="s">
        <v>90</v>
      </c>
      <c r="E64" s="687"/>
      <c r="F64" s="40" t="s">
        <v>35</v>
      </c>
      <c r="G64" s="41" t="s">
        <v>22</v>
      </c>
      <c r="H64" s="42">
        <v>1.25</v>
      </c>
      <c r="I64" s="43">
        <v>64</v>
      </c>
      <c r="J64" s="44">
        <v>1008</v>
      </c>
      <c r="K64" s="45">
        <v>0</v>
      </c>
      <c r="L64" s="46">
        <v>0</v>
      </c>
      <c r="M64" s="29"/>
      <c r="O64" s="47"/>
      <c r="P64" s="48"/>
    </row>
    <row r="65" spans="1:16" s="50" customFormat="1" ht="13.5" customHeight="1" hidden="1">
      <c r="A65" s="49"/>
      <c r="C65" s="51"/>
      <c r="D65" s="55" t="s">
        <v>91</v>
      </c>
      <c r="E65" s="687"/>
      <c r="F65" s="69" t="s">
        <v>76</v>
      </c>
      <c r="G65" s="41" t="s">
        <v>22</v>
      </c>
      <c r="H65" s="42">
        <v>2.7</v>
      </c>
      <c r="I65" s="43">
        <v>54</v>
      </c>
      <c r="J65" s="44">
        <v>448</v>
      </c>
      <c r="K65" s="45">
        <v>0</v>
      </c>
      <c r="L65" s="46">
        <v>0</v>
      </c>
      <c r="M65" s="52"/>
      <c r="O65" s="53"/>
      <c r="P65" s="54"/>
    </row>
    <row r="66" spans="1:16" s="37" customFormat="1" ht="13.5" customHeight="1" hidden="1">
      <c r="A66" s="36"/>
      <c r="C66" s="28"/>
      <c r="D66" s="55" t="s">
        <v>92</v>
      </c>
      <c r="E66" s="687"/>
      <c r="F66" s="40" t="s">
        <v>70</v>
      </c>
      <c r="G66" s="41" t="s">
        <v>22</v>
      </c>
      <c r="H66" s="42">
        <v>2.5</v>
      </c>
      <c r="I66" s="43">
        <v>48</v>
      </c>
      <c r="J66" s="44">
        <v>520</v>
      </c>
      <c r="K66" s="45">
        <v>0</v>
      </c>
      <c r="L66" s="46">
        <v>0</v>
      </c>
      <c r="M66" s="29"/>
      <c r="O66" s="47"/>
      <c r="P66" s="48"/>
    </row>
    <row r="67" spans="1:16" s="50" customFormat="1" ht="13.5" customHeight="1">
      <c r="A67" s="49"/>
      <c r="C67" s="51"/>
      <c r="D67" s="55" t="s">
        <v>93</v>
      </c>
      <c r="E67" s="688"/>
      <c r="F67" s="40" t="s">
        <v>39</v>
      </c>
      <c r="G67" s="41" t="s">
        <v>22</v>
      </c>
      <c r="H67" s="42">
        <v>2.9</v>
      </c>
      <c r="I67" s="43">
        <v>48</v>
      </c>
      <c r="J67" s="44">
        <v>416</v>
      </c>
      <c r="K67" s="45">
        <v>118.893736</v>
      </c>
      <c r="L67" s="46">
        <v>5706.899328</v>
      </c>
      <c r="M67" s="52"/>
      <c r="O67" s="53"/>
      <c r="P67" s="54"/>
    </row>
    <row r="68" spans="1:16" s="59" customFormat="1" ht="18.75" customHeight="1">
      <c r="A68" s="58"/>
      <c r="C68" s="60"/>
      <c r="D68" s="77" t="s">
        <v>94</v>
      </c>
      <c r="E68" s="78"/>
      <c r="F68" s="63"/>
      <c r="G68" s="64"/>
      <c r="H68" s="45"/>
      <c r="I68" s="74"/>
      <c r="J68" s="74"/>
      <c r="K68" s="45"/>
      <c r="L68" s="46"/>
      <c r="M68" s="65"/>
      <c r="O68" s="66"/>
      <c r="P68" s="58"/>
    </row>
    <row r="69" spans="1:16" s="50" customFormat="1" ht="13.5" customHeight="1" hidden="1">
      <c r="A69" s="49"/>
      <c r="C69" s="51"/>
      <c r="D69" s="55" t="s">
        <v>95</v>
      </c>
      <c r="E69" s="686" t="s">
        <v>24</v>
      </c>
      <c r="F69" s="69" t="s">
        <v>37</v>
      </c>
      <c r="G69" s="41" t="s">
        <v>17</v>
      </c>
      <c r="H69" s="42">
        <v>2.15</v>
      </c>
      <c r="I69" s="43">
        <v>64</v>
      </c>
      <c r="J69" s="44">
        <v>576</v>
      </c>
      <c r="K69" s="45">
        <v>0</v>
      </c>
      <c r="L69" s="46">
        <v>0</v>
      </c>
      <c r="M69" s="52"/>
      <c r="O69" s="53"/>
      <c r="P69" s="54"/>
    </row>
    <row r="70" spans="1:16" s="50" customFormat="1" ht="13.5" customHeight="1">
      <c r="A70" s="49"/>
      <c r="C70" s="51"/>
      <c r="D70" s="55" t="s">
        <v>96</v>
      </c>
      <c r="E70" s="687"/>
      <c r="F70" s="40" t="s">
        <v>39</v>
      </c>
      <c r="G70" s="41" t="s">
        <v>17</v>
      </c>
      <c r="H70" s="42">
        <v>3</v>
      </c>
      <c r="I70" s="43">
        <v>48</v>
      </c>
      <c r="J70" s="44">
        <v>416</v>
      </c>
      <c r="K70" s="45">
        <v>130.933608</v>
      </c>
      <c r="L70" s="46">
        <v>6284.813184</v>
      </c>
      <c r="M70" s="52"/>
      <c r="O70" s="53"/>
      <c r="P70" s="54"/>
    </row>
    <row r="71" spans="1:16" s="37" customFormat="1" ht="13.5" customHeight="1">
      <c r="A71" s="36"/>
      <c r="C71" s="28"/>
      <c r="D71" s="55" t="s">
        <v>97</v>
      </c>
      <c r="E71" s="691" t="s">
        <v>98</v>
      </c>
      <c r="F71" s="40" t="s">
        <v>39</v>
      </c>
      <c r="G71" s="41" t="s">
        <v>17</v>
      </c>
      <c r="H71" s="42">
        <v>3</v>
      </c>
      <c r="I71" s="43">
        <v>48</v>
      </c>
      <c r="J71" s="44">
        <v>416</v>
      </c>
      <c r="K71" s="45">
        <v>133.943576</v>
      </c>
      <c r="L71" s="46">
        <v>6429.291648</v>
      </c>
      <c r="M71" s="29"/>
      <c r="O71" s="47"/>
      <c r="P71" s="48"/>
    </row>
    <row r="72" spans="1:16" s="50" customFormat="1" ht="13.5" customHeight="1">
      <c r="A72" s="49"/>
      <c r="C72" s="51"/>
      <c r="D72" s="55" t="s">
        <v>99</v>
      </c>
      <c r="E72" s="691"/>
      <c r="F72" s="70" t="s">
        <v>41</v>
      </c>
      <c r="G72" s="41" t="s">
        <v>17</v>
      </c>
      <c r="H72" s="42">
        <v>3</v>
      </c>
      <c r="I72" s="43">
        <v>48</v>
      </c>
      <c r="J72" s="44">
        <v>416</v>
      </c>
      <c r="K72" s="45">
        <v>121.15121200000002</v>
      </c>
      <c r="L72" s="46">
        <v>5815.258176000001</v>
      </c>
      <c r="M72" s="52"/>
      <c r="O72" s="53"/>
      <c r="P72" s="54"/>
    </row>
    <row r="73" spans="1:16" s="50" customFormat="1" ht="13.5" customHeight="1" hidden="1">
      <c r="A73" s="49"/>
      <c r="C73" s="51"/>
      <c r="D73" s="79" t="s">
        <v>100</v>
      </c>
      <c r="E73" s="691" t="s">
        <v>101</v>
      </c>
      <c r="F73" s="80" t="s">
        <v>102</v>
      </c>
      <c r="G73" s="57" t="s">
        <v>17</v>
      </c>
      <c r="H73" s="42">
        <v>2.5</v>
      </c>
      <c r="I73" s="43">
        <v>48</v>
      </c>
      <c r="J73" s="44">
        <v>520</v>
      </c>
      <c r="K73" s="45">
        <v>0</v>
      </c>
      <c r="L73" s="46">
        <v>0</v>
      </c>
      <c r="M73" s="81"/>
      <c r="O73" s="53"/>
      <c r="P73" s="54"/>
    </row>
    <row r="74" spans="1:16" s="50" customFormat="1" ht="13.5" customHeight="1">
      <c r="A74" s="49"/>
      <c r="C74" s="51"/>
      <c r="D74" s="79" t="s">
        <v>103</v>
      </c>
      <c r="E74" s="691"/>
      <c r="F74" s="40" t="s">
        <v>39</v>
      </c>
      <c r="G74" s="57" t="s">
        <v>17</v>
      </c>
      <c r="H74" s="42">
        <v>3</v>
      </c>
      <c r="I74" s="43">
        <v>48</v>
      </c>
      <c r="J74" s="44">
        <v>416</v>
      </c>
      <c r="K74" s="45">
        <v>133.943576</v>
      </c>
      <c r="L74" s="46">
        <v>6429.291648</v>
      </c>
      <c r="M74" s="52"/>
      <c r="O74" s="53"/>
      <c r="P74" s="54"/>
    </row>
    <row r="75" spans="1:16" s="50" customFormat="1" ht="13.5" customHeight="1" hidden="1">
      <c r="A75" s="49"/>
      <c r="C75" s="51"/>
      <c r="D75" s="56" t="s">
        <v>104</v>
      </c>
      <c r="E75" s="686" t="s">
        <v>105</v>
      </c>
      <c r="F75" s="69" t="s">
        <v>37</v>
      </c>
      <c r="G75" s="41" t="s">
        <v>22</v>
      </c>
      <c r="H75" s="42">
        <v>2.15</v>
      </c>
      <c r="I75" s="43">
        <v>64</v>
      </c>
      <c r="J75" s="44">
        <v>576</v>
      </c>
      <c r="K75" s="45">
        <v>0</v>
      </c>
      <c r="L75" s="46">
        <v>0</v>
      </c>
      <c r="M75" s="52"/>
      <c r="O75" s="53"/>
      <c r="P75" s="54"/>
    </row>
    <row r="76" spans="1:16" s="50" customFormat="1" ht="13.5" customHeight="1">
      <c r="A76" s="49"/>
      <c r="C76" s="51"/>
      <c r="D76" s="55" t="s">
        <v>106</v>
      </c>
      <c r="E76" s="688"/>
      <c r="F76" s="40" t="s">
        <v>39</v>
      </c>
      <c r="G76" s="82" t="s">
        <v>22</v>
      </c>
      <c r="H76" s="42">
        <v>3</v>
      </c>
      <c r="I76" s="43">
        <v>48</v>
      </c>
      <c r="J76" s="44">
        <v>416</v>
      </c>
      <c r="K76" s="45">
        <v>129.428624</v>
      </c>
      <c r="L76" s="46">
        <v>6212.573952000001</v>
      </c>
      <c r="M76" s="52"/>
      <c r="O76" s="53"/>
      <c r="P76" s="54"/>
    </row>
    <row r="77" spans="1:16" s="50" customFormat="1" ht="13.5" customHeight="1">
      <c r="A77" s="49"/>
      <c r="C77" s="51"/>
      <c r="D77" s="56" t="s">
        <v>107</v>
      </c>
      <c r="E77" s="83" t="s">
        <v>108</v>
      </c>
      <c r="F77" s="40" t="s">
        <v>39</v>
      </c>
      <c r="G77" s="82" t="s">
        <v>22</v>
      </c>
      <c r="H77" s="42">
        <v>3</v>
      </c>
      <c r="I77" s="43">
        <v>48</v>
      </c>
      <c r="J77" s="44">
        <v>416</v>
      </c>
      <c r="K77" s="45">
        <v>129.428624</v>
      </c>
      <c r="L77" s="46">
        <v>6212.573952000001</v>
      </c>
      <c r="M77" s="52"/>
      <c r="O77" s="53"/>
      <c r="P77" s="54"/>
    </row>
    <row r="78" spans="1:16" s="59" customFormat="1" ht="18.75" customHeight="1" hidden="1">
      <c r="A78" s="58"/>
      <c r="C78" s="60"/>
      <c r="D78" s="84" t="s">
        <v>109</v>
      </c>
      <c r="E78" s="78"/>
      <c r="F78" s="63"/>
      <c r="G78" s="64"/>
      <c r="H78" s="45"/>
      <c r="I78" s="74"/>
      <c r="J78" s="74"/>
      <c r="K78" s="45"/>
      <c r="L78" s="46"/>
      <c r="M78" s="65"/>
      <c r="O78" s="66"/>
      <c r="P78" s="58"/>
    </row>
    <row r="79" spans="1:16" s="50" customFormat="1" ht="13.5" customHeight="1" hidden="1">
      <c r="A79" s="49"/>
      <c r="C79" s="51"/>
      <c r="D79" s="85" t="s">
        <v>110</v>
      </c>
      <c r="E79" s="76" t="s">
        <v>111</v>
      </c>
      <c r="F79" s="40" t="s">
        <v>39</v>
      </c>
      <c r="G79" s="82" t="s">
        <v>17</v>
      </c>
      <c r="H79" s="42">
        <v>2.9</v>
      </c>
      <c r="I79" s="43">
        <v>48</v>
      </c>
      <c r="J79" s="44">
        <v>416</v>
      </c>
      <c r="K79" s="45">
        <v>0</v>
      </c>
      <c r="L79" s="46">
        <v>0</v>
      </c>
      <c r="M79" s="52"/>
      <c r="O79" s="53"/>
      <c r="P79" s="54"/>
    </row>
    <row r="80" spans="1:16" s="50" customFormat="1" ht="13.5" customHeight="1" hidden="1">
      <c r="A80" s="49"/>
      <c r="C80" s="51"/>
      <c r="D80" s="85" t="s">
        <v>112</v>
      </c>
      <c r="E80" s="76" t="s">
        <v>113</v>
      </c>
      <c r="F80" s="40" t="s">
        <v>39</v>
      </c>
      <c r="G80" s="82" t="s">
        <v>22</v>
      </c>
      <c r="H80" s="42">
        <v>2.9</v>
      </c>
      <c r="I80" s="43">
        <v>48</v>
      </c>
      <c r="J80" s="44">
        <v>416</v>
      </c>
      <c r="K80" s="45">
        <v>0</v>
      </c>
      <c r="L80" s="46">
        <v>0</v>
      </c>
      <c r="M80" s="52"/>
      <c r="O80" s="53"/>
      <c r="P80" s="54"/>
    </row>
    <row r="81" spans="1:16" s="50" customFormat="1" ht="13.5" customHeight="1" hidden="1">
      <c r="A81" s="49"/>
      <c r="C81" s="51"/>
      <c r="D81" s="85" t="s">
        <v>114</v>
      </c>
      <c r="E81" s="76" t="s">
        <v>113</v>
      </c>
      <c r="F81" s="40" t="s">
        <v>16</v>
      </c>
      <c r="G81" s="82" t="s">
        <v>22</v>
      </c>
      <c r="H81" s="42">
        <v>2.5</v>
      </c>
      <c r="I81" s="43">
        <v>48</v>
      </c>
      <c r="J81" s="44">
        <v>520</v>
      </c>
      <c r="K81" s="45">
        <v>0</v>
      </c>
      <c r="L81" s="46">
        <v>0</v>
      </c>
      <c r="M81" s="52"/>
      <c r="O81" s="53"/>
      <c r="P81" s="54"/>
    </row>
    <row r="82" spans="1:16" s="59" customFormat="1" ht="18.75" customHeight="1">
      <c r="A82" s="58"/>
      <c r="C82" s="60"/>
      <c r="D82" s="77" t="s">
        <v>115</v>
      </c>
      <c r="E82" s="78"/>
      <c r="F82" s="63"/>
      <c r="G82" s="64"/>
      <c r="H82" s="45"/>
      <c r="I82" s="74"/>
      <c r="J82" s="74"/>
      <c r="K82" s="45"/>
      <c r="L82" s="46"/>
      <c r="M82" s="65"/>
      <c r="O82" s="66"/>
      <c r="P82" s="58"/>
    </row>
    <row r="83" spans="1:16" s="50" customFormat="1" ht="13.5" customHeight="1">
      <c r="A83" s="49"/>
      <c r="C83" s="51"/>
      <c r="D83" s="56" t="s">
        <v>116</v>
      </c>
      <c r="E83" s="76" t="s">
        <v>117</v>
      </c>
      <c r="F83" s="40" t="s">
        <v>39</v>
      </c>
      <c r="G83" s="41" t="s">
        <v>22</v>
      </c>
      <c r="H83" s="42">
        <v>3</v>
      </c>
      <c r="I83" s="43">
        <v>48</v>
      </c>
      <c r="J83" s="44">
        <v>416</v>
      </c>
      <c r="K83" s="45">
        <v>130.933608</v>
      </c>
      <c r="L83" s="46">
        <v>6284.813184</v>
      </c>
      <c r="M83" s="52"/>
      <c r="O83" s="53"/>
      <c r="P83" s="54"/>
    </row>
    <row r="84" spans="1:16" s="50" customFormat="1" ht="13.5" customHeight="1">
      <c r="A84" s="49"/>
      <c r="C84" s="51"/>
      <c r="D84" s="55" t="s">
        <v>118</v>
      </c>
      <c r="E84" s="76" t="s">
        <v>117</v>
      </c>
      <c r="F84" s="40" t="s">
        <v>16</v>
      </c>
      <c r="G84" s="41" t="s">
        <v>22</v>
      </c>
      <c r="H84" s="42">
        <v>2.5</v>
      </c>
      <c r="I84" s="43">
        <v>48</v>
      </c>
      <c r="J84" s="44">
        <v>520</v>
      </c>
      <c r="K84" s="45">
        <v>78.67303860000001</v>
      </c>
      <c r="L84" s="46">
        <v>3776.3058528000006</v>
      </c>
      <c r="M84" s="52"/>
      <c r="O84" s="53"/>
      <c r="P84" s="54"/>
    </row>
    <row r="85" spans="1:16" s="50" customFormat="1" ht="13.5" customHeight="1">
      <c r="A85" s="49"/>
      <c r="C85" s="51"/>
      <c r="D85" s="55" t="s">
        <v>119</v>
      </c>
      <c r="E85" s="76" t="s">
        <v>120</v>
      </c>
      <c r="F85" s="40" t="s">
        <v>39</v>
      </c>
      <c r="G85" s="41" t="s">
        <v>22</v>
      </c>
      <c r="H85" s="42">
        <v>3</v>
      </c>
      <c r="I85" s="43">
        <v>48</v>
      </c>
      <c r="J85" s="44">
        <v>416</v>
      </c>
      <c r="K85" s="45">
        <v>129.428624</v>
      </c>
      <c r="L85" s="46">
        <v>6212.573952000001</v>
      </c>
      <c r="M85" s="52"/>
      <c r="O85" s="53"/>
      <c r="P85" s="54"/>
    </row>
    <row r="86" spans="1:16" s="59" customFormat="1" ht="18.75" customHeight="1">
      <c r="A86" s="58"/>
      <c r="C86" s="60"/>
      <c r="D86" s="77" t="s">
        <v>121</v>
      </c>
      <c r="E86" s="78"/>
      <c r="F86" s="63"/>
      <c r="G86" s="64"/>
      <c r="H86" s="45"/>
      <c r="I86" s="74"/>
      <c r="J86" s="74"/>
      <c r="K86" s="45"/>
      <c r="L86" s="46"/>
      <c r="M86" s="65"/>
      <c r="O86" s="66"/>
      <c r="P86" s="58"/>
    </row>
    <row r="87" spans="1:16" s="37" customFormat="1" ht="13.5" customHeight="1">
      <c r="A87" s="36"/>
      <c r="C87" s="28"/>
      <c r="D87" s="55" t="s">
        <v>122</v>
      </c>
      <c r="E87" s="686" t="s">
        <v>123</v>
      </c>
      <c r="F87" s="40" t="s">
        <v>39</v>
      </c>
      <c r="G87" s="41" t="s">
        <v>17</v>
      </c>
      <c r="H87" s="42">
        <v>2.9</v>
      </c>
      <c r="I87" s="43">
        <v>48</v>
      </c>
      <c r="J87" s="44">
        <v>416</v>
      </c>
      <c r="K87" s="45">
        <v>126.418656</v>
      </c>
      <c r="L87" s="46">
        <v>6068.095488</v>
      </c>
      <c r="M87" s="29"/>
      <c r="O87" s="47"/>
      <c r="P87" s="48"/>
    </row>
    <row r="88" spans="1:16" s="50" customFormat="1" ht="13.5" customHeight="1" hidden="1">
      <c r="A88" s="49"/>
      <c r="C88" s="51"/>
      <c r="D88" s="56" t="s">
        <v>124</v>
      </c>
      <c r="E88" s="688"/>
      <c r="F88" s="70" t="s">
        <v>41</v>
      </c>
      <c r="G88" s="41" t="s">
        <v>17</v>
      </c>
      <c r="H88" s="42">
        <v>4.8</v>
      </c>
      <c r="I88" s="43">
        <v>32</v>
      </c>
      <c r="J88" s="44">
        <v>256</v>
      </c>
      <c r="K88" s="45">
        <v>0</v>
      </c>
      <c r="L88" s="46">
        <v>0</v>
      </c>
      <c r="M88" s="52"/>
      <c r="O88" s="53"/>
      <c r="P88" s="54"/>
    </row>
    <row r="89" spans="1:16" s="87" customFormat="1" ht="13.5" customHeight="1">
      <c r="A89" s="86"/>
      <c r="C89" s="88"/>
      <c r="D89" s="56" t="s">
        <v>125</v>
      </c>
      <c r="E89" s="39" t="s">
        <v>126</v>
      </c>
      <c r="F89" s="40" t="s">
        <v>16</v>
      </c>
      <c r="G89" s="41" t="s">
        <v>17</v>
      </c>
      <c r="H89" s="42">
        <v>2.5</v>
      </c>
      <c r="I89" s="43">
        <v>48</v>
      </c>
      <c r="J89" s="44">
        <v>520</v>
      </c>
      <c r="K89" s="45">
        <v>97.82396</v>
      </c>
      <c r="L89" s="46">
        <v>4695.55008</v>
      </c>
      <c r="M89" s="89"/>
      <c r="O89" s="90"/>
      <c r="P89" s="91"/>
    </row>
    <row r="90" spans="1:16" s="93" customFormat="1" ht="13.5" customHeight="1">
      <c r="A90" s="92"/>
      <c r="C90" s="94"/>
      <c r="D90" s="72" t="s">
        <v>127</v>
      </c>
      <c r="E90" s="687" t="s">
        <v>128</v>
      </c>
      <c r="F90" s="95" t="s">
        <v>39</v>
      </c>
      <c r="G90" s="96" t="s">
        <v>17</v>
      </c>
      <c r="H90" s="97">
        <v>2.9</v>
      </c>
      <c r="I90" s="98">
        <v>48</v>
      </c>
      <c r="J90" s="99">
        <v>416</v>
      </c>
      <c r="K90" s="100">
        <v>128.676132</v>
      </c>
      <c r="L90" s="101">
        <v>6176.454336</v>
      </c>
      <c r="M90" s="102"/>
      <c r="O90" s="103"/>
      <c r="P90" s="92"/>
    </row>
    <row r="91" spans="1:16" s="50" customFormat="1" ht="13.5" customHeight="1" hidden="1">
      <c r="A91" s="54"/>
      <c r="C91" s="51"/>
      <c r="D91" s="56" t="s">
        <v>129</v>
      </c>
      <c r="E91" s="688"/>
      <c r="F91" s="70" t="s">
        <v>41</v>
      </c>
      <c r="G91" s="41" t="s">
        <v>17</v>
      </c>
      <c r="H91" s="42">
        <v>4.8</v>
      </c>
      <c r="I91" s="43">
        <v>32</v>
      </c>
      <c r="J91" s="44">
        <v>256</v>
      </c>
      <c r="K91" s="45">
        <v>0</v>
      </c>
      <c r="L91" s="46">
        <v>0</v>
      </c>
      <c r="M91" s="52"/>
      <c r="O91" s="53"/>
      <c r="P91" s="54"/>
    </row>
    <row r="92" spans="1:16" s="59" customFormat="1" ht="18.75" customHeight="1">
      <c r="A92" s="58"/>
      <c r="C92" s="60"/>
      <c r="D92" s="690" t="s">
        <v>130</v>
      </c>
      <c r="E92" s="690"/>
      <c r="F92" s="63"/>
      <c r="G92" s="64"/>
      <c r="H92" s="45"/>
      <c r="I92" s="74"/>
      <c r="J92" s="74"/>
      <c r="K92" s="45"/>
      <c r="L92" s="46"/>
      <c r="M92" s="65"/>
      <c r="O92" s="66"/>
      <c r="P92" s="58"/>
    </row>
    <row r="93" spans="1:16" s="50" customFormat="1" ht="13.5" customHeight="1">
      <c r="A93" s="49"/>
      <c r="C93" s="51"/>
      <c r="D93" s="56" t="s">
        <v>131</v>
      </c>
      <c r="E93" s="76" t="s">
        <v>132</v>
      </c>
      <c r="F93" s="40" t="s">
        <v>39</v>
      </c>
      <c r="G93" s="57" t="s">
        <v>28</v>
      </c>
      <c r="H93" s="42">
        <v>3</v>
      </c>
      <c r="I93" s="43">
        <v>48</v>
      </c>
      <c r="J93" s="44">
        <v>416</v>
      </c>
      <c r="K93" s="45">
        <v>125.666164</v>
      </c>
      <c r="L93" s="46">
        <v>6031.975872</v>
      </c>
      <c r="M93" s="52"/>
      <c r="O93" s="53"/>
      <c r="P93" s="54"/>
    </row>
    <row r="94" spans="1:16" s="50" customFormat="1" ht="13.5" customHeight="1">
      <c r="A94" s="49"/>
      <c r="C94" s="51"/>
      <c r="D94" s="56" t="s">
        <v>133</v>
      </c>
      <c r="E94" s="76" t="s">
        <v>134</v>
      </c>
      <c r="F94" s="40" t="s">
        <v>39</v>
      </c>
      <c r="G94" s="57" t="s">
        <v>28</v>
      </c>
      <c r="H94" s="42">
        <v>3</v>
      </c>
      <c r="I94" s="43">
        <v>48</v>
      </c>
      <c r="J94" s="44">
        <v>416</v>
      </c>
      <c r="K94" s="45">
        <v>125.666164</v>
      </c>
      <c r="L94" s="46">
        <v>6031.975872</v>
      </c>
      <c r="M94" s="52"/>
      <c r="O94" s="53"/>
      <c r="P94" s="54"/>
    </row>
    <row r="95" spans="1:16" s="50" customFormat="1" ht="13.5" customHeight="1">
      <c r="A95" s="49"/>
      <c r="C95" s="51"/>
      <c r="D95" s="56" t="s">
        <v>135</v>
      </c>
      <c r="E95" s="104" t="s">
        <v>136</v>
      </c>
      <c r="F95" s="40" t="s">
        <v>39</v>
      </c>
      <c r="G95" s="57" t="s">
        <v>28</v>
      </c>
      <c r="H95" s="42">
        <v>3</v>
      </c>
      <c r="I95" s="43">
        <v>48</v>
      </c>
      <c r="J95" s="44">
        <v>416</v>
      </c>
      <c r="K95" s="45">
        <v>125.666164</v>
      </c>
      <c r="L95" s="46">
        <v>6031.975872</v>
      </c>
      <c r="M95" s="52"/>
      <c r="O95" s="53"/>
      <c r="P95" s="54"/>
    </row>
    <row r="96" spans="1:16" s="50" customFormat="1" ht="13.5" customHeight="1">
      <c r="A96" s="49"/>
      <c r="C96" s="51"/>
      <c r="D96" s="56" t="s">
        <v>137</v>
      </c>
      <c r="E96" s="686" t="s">
        <v>138</v>
      </c>
      <c r="F96" s="40" t="s">
        <v>27</v>
      </c>
      <c r="G96" s="57" t="s">
        <v>28</v>
      </c>
      <c r="H96" s="42">
        <v>2.25</v>
      </c>
      <c r="I96" s="43">
        <v>57</v>
      </c>
      <c r="J96" s="44">
        <v>468</v>
      </c>
      <c r="K96" s="45">
        <v>96.318976</v>
      </c>
      <c r="L96" s="46">
        <v>5490.181632000001</v>
      </c>
      <c r="M96" s="52"/>
      <c r="O96" s="53"/>
      <c r="P96" s="54"/>
    </row>
    <row r="97" spans="1:16" s="50" customFormat="1" ht="13.5" customHeight="1">
      <c r="A97" s="49"/>
      <c r="C97" s="51"/>
      <c r="D97" s="56" t="s">
        <v>139</v>
      </c>
      <c r="E97" s="687"/>
      <c r="F97" s="40" t="s">
        <v>39</v>
      </c>
      <c r="G97" s="57" t="s">
        <v>28</v>
      </c>
      <c r="H97" s="42">
        <v>2.9</v>
      </c>
      <c r="I97" s="43">
        <v>48</v>
      </c>
      <c r="J97" s="44">
        <v>416</v>
      </c>
      <c r="K97" s="45">
        <v>130.933608</v>
      </c>
      <c r="L97" s="46">
        <v>6284.813184</v>
      </c>
      <c r="M97" s="52"/>
      <c r="O97" s="53"/>
      <c r="P97" s="54"/>
    </row>
    <row r="98" spans="1:16" s="50" customFormat="1" ht="13.5" customHeight="1">
      <c r="A98" s="49"/>
      <c r="C98" s="51"/>
      <c r="D98" s="56" t="s">
        <v>137</v>
      </c>
      <c r="E98" s="686" t="s">
        <v>140</v>
      </c>
      <c r="F98" s="40" t="s">
        <v>27</v>
      </c>
      <c r="G98" s="57" t="s">
        <v>28</v>
      </c>
      <c r="H98" s="42">
        <v>2.25</v>
      </c>
      <c r="I98" s="43">
        <v>57</v>
      </c>
      <c r="J98" s="44">
        <v>468</v>
      </c>
      <c r="K98" s="45">
        <v>96.318976</v>
      </c>
      <c r="L98" s="46">
        <v>5490.181632000001</v>
      </c>
      <c r="M98" s="52"/>
      <c r="O98" s="53"/>
      <c r="P98" s="54"/>
    </row>
    <row r="99" spans="1:16" s="50" customFormat="1" ht="13.5" customHeight="1">
      <c r="A99" s="49"/>
      <c r="C99" s="51"/>
      <c r="D99" s="56" t="s">
        <v>139</v>
      </c>
      <c r="E99" s="688"/>
      <c r="F99" s="40" t="s">
        <v>39</v>
      </c>
      <c r="G99" s="57" t="s">
        <v>28</v>
      </c>
      <c r="H99" s="42">
        <v>2.9</v>
      </c>
      <c r="I99" s="43">
        <v>48</v>
      </c>
      <c r="J99" s="44">
        <v>416</v>
      </c>
      <c r="K99" s="45">
        <v>130.933608</v>
      </c>
      <c r="L99" s="46">
        <v>6284.813184</v>
      </c>
      <c r="M99" s="52"/>
      <c r="O99" s="53"/>
      <c r="P99" s="54"/>
    </row>
    <row r="100" spans="1:16" s="50" customFormat="1" ht="13.5" customHeight="1">
      <c r="A100" s="49"/>
      <c r="C100" s="51"/>
      <c r="D100" s="56" t="s">
        <v>141</v>
      </c>
      <c r="E100" s="686" t="s">
        <v>142</v>
      </c>
      <c r="F100" s="40" t="s">
        <v>27</v>
      </c>
      <c r="G100" s="57" t="s">
        <v>28</v>
      </c>
      <c r="H100" s="42">
        <v>2.25</v>
      </c>
      <c r="I100" s="43">
        <v>57</v>
      </c>
      <c r="J100" s="44">
        <v>468</v>
      </c>
      <c r="K100" s="45">
        <v>82.77412000000001</v>
      </c>
      <c r="L100" s="46">
        <v>4718.12484</v>
      </c>
      <c r="M100" s="52"/>
      <c r="O100" s="53"/>
      <c r="P100" s="54"/>
    </row>
    <row r="101" spans="1:16" s="50" customFormat="1" ht="13.5" customHeight="1">
      <c r="A101" s="49"/>
      <c r="C101" s="51"/>
      <c r="D101" s="56" t="s">
        <v>143</v>
      </c>
      <c r="E101" s="687"/>
      <c r="F101" s="40" t="s">
        <v>39</v>
      </c>
      <c r="G101" s="57" t="s">
        <v>28</v>
      </c>
      <c r="H101" s="42">
        <v>2.95</v>
      </c>
      <c r="I101" s="43">
        <v>48</v>
      </c>
      <c r="J101" s="44">
        <v>416</v>
      </c>
      <c r="K101" s="45">
        <v>124.16118</v>
      </c>
      <c r="L101" s="46">
        <v>5959.73664</v>
      </c>
      <c r="M101" s="52"/>
      <c r="O101" s="53"/>
      <c r="P101" s="54"/>
    </row>
    <row r="102" spans="1:16" s="50" customFormat="1" ht="13.5" customHeight="1">
      <c r="A102" s="49"/>
      <c r="C102" s="51"/>
      <c r="D102" s="56" t="s">
        <v>144</v>
      </c>
      <c r="E102" s="105" t="s">
        <v>32</v>
      </c>
      <c r="F102" s="40" t="s">
        <v>39</v>
      </c>
      <c r="G102" s="57" t="s">
        <v>28</v>
      </c>
      <c r="H102" s="42">
        <v>2.95</v>
      </c>
      <c r="I102" s="43">
        <v>48</v>
      </c>
      <c r="J102" s="44">
        <v>416</v>
      </c>
      <c r="K102" s="45">
        <v>124.16118</v>
      </c>
      <c r="L102" s="46">
        <v>5959.73664</v>
      </c>
      <c r="M102" s="52"/>
      <c r="O102" s="53"/>
      <c r="P102" s="54"/>
    </row>
    <row r="103" spans="1:16" s="50" customFormat="1" ht="13.5" customHeight="1">
      <c r="A103" s="49"/>
      <c r="C103" s="51"/>
      <c r="D103" s="56" t="s">
        <v>145</v>
      </c>
      <c r="E103" s="105" t="s">
        <v>30</v>
      </c>
      <c r="F103" s="69" t="s">
        <v>39</v>
      </c>
      <c r="G103" s="57" t="s">
        <v>28</v>
      </c>
      <c r="H103" s="42">
        <v>2.95</v>
      </c>
      <c r="I103" s="43">
        <v>48</v>
      </c>
      <c r="J103" s="44">
        <v>416</v>
      </c>
      <c r="K103" s="45">
        <v>124.16118</v>
      </c>
      <c r="L103" s="46">
        <v>5959.73664</v>
      </c>
      <c r="M103" s="52"/>
      <c r="O103" s="53"/>
      <c r="P103" s="54"/>
    </row>
    <row r="104" spans="1:16" s="50" customFormat="1" ht="13.5" customHeight="1">
      <c r="A104" s="49"/>
      <c r="C104" s="51"/>
      <c r="D104" s="56" t="s">
        <v>146</v>
      </c>
      <c r="E104" s="105" t="s">
        <v>26</v>
      </c>
      <c r="F104" s="69" t="s">
        <v>39</v>
      </c>
      <c r="G104" s="57" t="s">
        <v>28</v>
      </c>
      <c r="H104" s="42">
        <v>2.95</v>
      </c>
      <c r="I104" s="43">
        <v>48</v>
      </c>
      <c r="J104" s="44">
        <v>416</v>
      </c>
      <c r="K104" s="45">
        <v>124.16118</v>
      </c>
      <c r="L104" s="46">
        <v>5959.73664</v>
      </c>
      <c r="M104" s="52"/>
      <c r="O104" s="53"/>
      <c r="P104" s="54"/>
    </row>
    <row r="105" spans="1:16" s="50" customFormat="1" ht="13.5" customHeight="1">
      <c r="A105" s="49"/>
      <c r="C105" s="51"/>
      <c r="D105" s="56" t="s">
        <v>147</v>
      </c>
      <c r="E105" s="686" t="s">
        <v>148</v>
      </c>
      <c r="F105" s="40" t="s">
        <v>27</v>
      </c>
      <c r="G105" s="57" t="s">
        <v>28</v>
      </c>
      <c r="H105" s="42">
        <v>2.25</v>
      </c>
      <c r="I105" s="43">
        <v>57</v>
      </c>
      <c r="J105" s="44">
        <v>468</v>
      </c>
      <c r="K105" s="45">
        <v>104.59638799999999</v>
      </c>
      <c r="L105" s="46">
        <v>5961.994116</v>
      </c>
      <c r="M105" s="52"/>
      <c r="O105" s="53"/>
      <c r="P105" s="54"/>
    </row>
    <row r="106" spans="1:16" s="50" customFormat="1" ht="13.5" customHeight="1">
      <c r="A106" s="49"/>
      <c r="C106" s="51"/>
      <c r="D106" s="56" t="s">
        <v>149</v>
      </c>
      <c r="E106" s="687"/>
      <c r="F106" s="69" t="s">
        <v>39</v>
      </c>
      <c r="G106" s="57" t="s">
        <v>28</v>
      </c>
      <c r="H106" s="42">
        <v>2.25</v>
      </c>
      <c r="I106" s="43">
        <v>48</v>
      </c>
      <c r="J106" s="44">
        <v>416</v>
      </c>
      <c r="K106" s="45">
        <v>136.201052</v>
      </c>
      <c r="L106" s="46">
        <v>6537.650496</v>
      </c>
      <c r="M106" s="52"/>
      <c r="O106" s="53"/>
      <c r="P106" s="54"/>
    </row>
    <row r="107" spans="1:16" s="50" customFormat="1" ht="13.5" customHeight="1">
      <c r="A107" s="49"/>
      <c r="C107" s="51"/>
      <c r="D107" s="56" t="s">
        <v>150</v>
      </c>
      <c r="E107" s="686" t="s">
        <v>151</v>
      </c>
      <c r="F107" s="40" t="s">
        <v>27</v>
      </c>
      <c r="G107" s="57" t="s">
        <v>28</v>
      </c>
      <c r="H107" s="42">
        <v>3</v>
      </c>
      <c r="I107" s="43">
        <v>57</v>
      </c>
      <c r="J107" s="44">
        <v>468</v>
      </c>
      <c r="K107" s="45">
        <v>104.59638799999999</v>
      </c>
      <c r="L107" s="46">
        <v>5961.994116</v>
      </c>
      <c r="M107" s="52"/>
      <c r="O107" s="53"/>
      <c r="P107" s="54"/>
    </row>
    <row r="108" spans="1:16" s="50" customFormat="1" ht="13.5" customHeight="1">
      <c r="A108" s="49"/>
      <c r="C108" s="51"/>
      <c r="D108" s="56" t="s">
        <v>152</v>
      </c>
      <c r="E108" s="687"/>
      <c r="F108" s="40" t="s">
        <v>39</v>
      </c>
      <c r="G108" s="57" t="s">
        <v>28</v>
      </c>
      <c r="H108" s="42">
        <v>2.95</v>
      </c>
      <c r="I108" s="43">
        <v>48</v>
      </c>
      <c r="J108" s="44">
        <v>416</v>
      </c>
      <c r="K108" s="45">
        <v>135.44856000000001</v>
      </c>
      <c r="L108" s="46">
        <v>6501.53088</v>
      </c>
      <c r="M108" s="52"/>
      <c r="O108" s="53"/>
      <c r="P108" s="54"/>
    </row>
    <row r="109" spans="1:16" s="50" customFormat="1" ht="13.5" customHeight="1">
      <c r="A109" s="49"/>
      <c r="C109" s="51"/>
      <c r="D109" s="106"/>
      <c r="E109" s="107"/>
      <c r="F109" s="108"/>
      <c r="G109" s="109"/>
      <c r="H109" s="45"/>
      <c r="I109" s="43"/>
      <c r="J109" s="44"/>
      <c r="K109" s="45"/>
      <c r="L109" s="46"/>
      <c r="M109" s="52"/>
      <c r="O109" s="53"/>
      <c r="P109" s="54"/>
    </row>
    <row r="110" spans="1:16" s="59" customFormat="1" ht="18.75" customHeight="1">
      <c r="A110" s="58"/>
      <c r="C110" s="60"/>
      <c r="D110" s="690" t="s">
        <v>153</v>
      </c>
      <c r="E110" s="690"/>
      <c r="F110" s="63"/>
      <c r="G110" s="64"/>
      <c r="H110" s="45"/>
      <c r="I110" s="43"/>
      <c r="J110" s="44"/>
      <c r="K110" s="45"/>
      <c r="L110" s="46"/>
      <c r="M110" s="65"/>
      <c r="O110" s="66"/>
      <c r="P110" s="58"/>
    </row>
    <row r="111" spans="1:16" s="50" customFormat="1" ht="15.75" customHeight="1">
      <c r="A111" s="49"/>
      <c r="C111" s="51"/>
      <c r="D111" s="56" t="s">
        <v>154</v>
      </c>
      <c r="E111" s="76" t="s">
        <v>155</v>
      </c>
      <c r="F111" s="40" t="s">
        <v>39</v>
      </c>
      <c r="G111" s="57" t="s">
        <v>28</v>
      </c>
      <c r="H111" s="42">
        <v>2.95</v>
      </c>
      <c r="I111" s="43">
        <v>48</v>
      </c>
      <c r="J111" s="44">
        <v>416</v>
      </c>
      <c r="K111" s="45">
        <v>142.220988</v>
      </c>
      <c r="L111" s="46">
        <v>6826.607424</v>
      </c>
      <c r="M111" s="52"/>
      <c r="O111" s="53"/>
      <c r="P111" s="54"/>
    </row>
    <row r="112" spans="1:16" s="50" customFormat="1" ht="15.75" customHeight="1">
      <c r="A112" s="49"/>
      <c r="C112" s="51"/>
      <c r="D112" s="56" t="s">
        <v>156</v>
      </c>
      <c r="E112" s="76" t="s">
        <v>157</v>
      </c>
      <c r="F112" s="40" t="s">
        <v>39</v>
      </c>
      <c r="G112" s="57" t="s">
        <v>28</v>
      </c>
      <c r="H112" s="42">
        <v>2.95</v>
      </c>
      <c r="I112" s="43">
        <v>48</v>
      </c>
      <c r="J112" s="44">
        <v>416</v>
      </c>
      <c r="K112" s="45">
        <v>143.72597199999998</v>
      </c>
      <c r="L112" s="46">
        <v>6898.846656</v>
      </c>
      <c r="M112" s="52"/>
      <c r="O112" s="53"/>
      <c r="P112" s="54"/>
    </row>
    <row r="113" spans="1:16" s="50" customFormat="1" ht="15.75" customHeight="1">
      <c r="A113" s="49"/>
      <c r="C113" s="51"/>
      <c r="D113" s="56" t="s">
        <v>158</v>
      </c>
      <c r="E113" s="76" t="s">
        <v>159</v>
      </c>
      <c r="F113" s="40" t="s">
        <v>39</v>
      </c>
      <c r="G113" s="57" t="s">
        <v>28</v>
      </c>
      <c r="H113" s="42">
        <v>2.95</v>
      </c>
      <c r="I113" s="43">
        <v>48</v>
      </c>
      <c r="J113" s="44">
        <v>416</v>
      </c>
      <c r="K113" s="45">
        <v>143.72597199999998</v>
      </c>
      <c r="L113" s="46">
        <v>6898.846656</v>
      </c>
      <c r="M113" s="52"/>
      <c r="O113" s="53"/>
      <c r="P113" s="54"/>
    </row>
    <row r="114" spans="1:16" s="50" customFormat="1" ht="15.75" customHeight="1">
      <c r="A114" s="49"/>
      <c r="C114" s="51"/>
      <c r="D114" s="56" t="s">
        <v>160</v>
      </c>
      <c r="E114" s="76" t="s">
        <v>161</v>
      </c>
      <c r="F114" s="40" t="s">
        <v>39</v>
      </c>
      <c r="G114" s="57" t="s">
        <v>28</v>
      </c>
      <c r="H114" s="42">
        <v>2.95</v>
      </c>
      <c r="I114" s="43">
        <v>48</v>
      </c>
      <c r="J114" s="44">
        <v>416</v>
      </c>
      <c r="K114" s="45">
        <v>140.716004</v>
      </c>
      <c r="L114" s="46">
        <v>6754.368192</v>
      </c>
      <c r="M114" s="52"/>
      <c r="O114" s="53"/>
      <c r="P114" s="54"/>
    </row>
    <row r="115" spans="1:16" s="50" customFormat="1" ht="15.75" customHeight="1">
      <c r="A115" s="49"/>
      <c r="C115" s="51"/>
      <c r="D115" s="56" t="s">
        <v>162</v>
      </c>
      <c r="E115" s="76" t="s">
        <v>163</v>
      </c>
      <c r="F115" s="40" t="s">
        <v>39</v>
      </c>
      <c r="G115" s="57" t="s">
        <v>28</v>
      </c>
      <c r="H115" s="42">
        <v>2.95</v>
      </c>
      <c r="I115" s="43">
        <v>48</v>
      </c>
      <c r="J115" s="44">
        <v>416</v>
      </c>
      <c r="K115" s="45">
        <v>134.696068</v>
      </c>
      <c r="L115" s="46">
        <v>6465.411264</v>
      </c>
      <c r="M115" s="52"/>
      <c r="O115" s="53"/>
      <c r="P115" s="54"/>
    </row>
    <row r="116" spans="1:16" s="50" customFormat="1" ht="15.75" customHeight="1">
      <c r="A116" s="49"/>
      <c r="C116" s="51"/>
      <c r="D116" s="56" t="s">
        <v>164</v>
      </c>
      <c r="E116" s="76" t="s">
        <v>165</v>
      </c>
      <c r="F116" s="40" t="s">
        <v>39</v>
      </c>
      <c r="G116" s="57" t="s">
        <v>28</v>
      </c>
      <c r="H116" s="42">
        <v>2.95</v>
      </c>
      <c r="I116" s="43">
        <v>48</v>
      </c>
      <c r="J116" s="44">
        <v>416</v>
      </c>
      <c r="K116" s="45">
        <v>140.716004</v>
      </c>
      <c r="L116" s="46">
        <v>6754.368192</v>
      </c>
      <c r="M116" s="52"/>
      <c r="O116" s="53"/>
      <c r="P116" s="54"/>
    </row>
    <row r="117" spans="1:16" s="50" customFormat="1" ht="15.75" customHeight="1">
      <c r="A117" s="49"/>
      <c r="C117" s="51"/>
      <c r="D117" s="56" t="s">
        <v>166</v>
      </c>
      <c r="E117" s="76" t="s">
        <v>167</v>
      </c>
      <c r="F117" s="40" t="s">
        <v>39</v>
      </c>
      <c r="G117" s="57" t="s">
        <v>28</v>
      </c>
      <c r="H117" s="42">
        <v>2.95</v>
      </c>
      <c r="I117" s="43">
        <v>48</v>
      </c>
      <c r="J117" s="44">
        <v>416</v>
      </c>
      <c r="K117" s="45">
        <v>140.716004</v>
      </c>
      <c r="L117" s="46">
        <v>6754.368192</v>
      </c>
      <c r="M117" s="52"/>
      <c r="O117" s="53"/>
      <c r="P117" s="54"/>
    </row>
    <row r="118" spans="1:16" s="50" customFormat="1" ht="15.75" customHeight="1">
      <c r="A118" s="49"/>
      <c r="C118" s="51"/>
      <c r="D118" s="56" t="s">
        <v>168</v>
      </c>
      <c r="E118" s="76" t="s">
        <v>169</v>
      </c>
      <c r="F118" s="40" t="s">
        <v>39</v>
      </c>
      <c r="G118" s="57" t="s">
        <v>28</v>
      </c>
      <c r="H118" s="42">
        <v>3</v>
      </c>
      <c r="I118" s="43">
        <v>48</v>
      </c>
      <c r="J118" s="44">
        <v>416</v>
      </c>
      <c r="K118" s="45">
        <v>129.428624</v>
      </c>
      <c r="L118" s="46">
        <v>6212.573952000001</v>
      </c>
      <c r="M118" s="52"/>
      <c r="O118" s="53"/>
      <c r="P118" s="54"/>
    </row>
    <row r="119" spans="1:16" s="50" customFormat="1" ht="15.75" customHeight="1">
      <c r="A119" s="49"/>
      <c r="C119" s="51"/>
      <c r="D119" s="56" t="s">
        <v>170</v>
      </c>
      <c r="E119" s="76" t="s">
        <v>171</v>
      </c>
      <c r="F119" s="40" t="s">
        <v>39</v>
      </c>
      <c r="G119" s="57" t="s">
        <v>28</v>
      </c>
      <c r="H119" s="42">
        <v>2.95</v>
      </c>
      <c r="I119" s="43">
        <v>48</v>
      </c>
      <c r="J119" s="44">
        <v>416</v>
      </c>
      <c r="K119" s="45">
        <v>152.003384</v>
      </c>
      <c r="L119" s="46">
        <v>7296.162432000001</v>
      </c>
      <c r="M119" s="52"/>
      <c r="O119" s="53"/>
      <c r="P119" s="54"/>
    </row>
    <row r="120" spans="1:16" s="50" customFormat="1" ht="15.75" customHeight="1">
      <c r="A120" s="49"/>
      <c r="C120" s="51"/>
      <c r="D120" s="56" t="s">
        <v>172</v>
      </c>
      <c r="E120" s="76" t="s">
        <v>173</v>
      </c>
      <c r="F120" s="69" t="s">
        <v>37</v>
      </c>
      <c r="G120" s="57" t="s">
        <v>28</v>
      </c>
      <c r="H120" s="42">
        <v>2.4</v>
      </c>
      <c r="I120" s="43">
        <v>64</v>
      </c>
      <c r="J120" s="44">
        <v>576</v>
      </c>
      <c r="K120" s="45">
        <v>126.418656</v>
      </c>
      <c r="L120" s="46">
        <v>8090.793984</v>
      </c>
      <c r="M120" s="52"/>
      <c r="O120" s="53"/>
      <c r="P120" s="54"/>
    </row>
    <row r="121" spans="1:16" s="50" customFormat="1" ht="15.75" customHeight="1">
      <c r="A121" s="49"/>
      <c r="C121" s="51"/>
      <c r="D121" s="56" t="s">
        <v>174</v>
      </c>
      <c r="E121" s="76" t="s">
        <v>175</v>
      </c>
      <c r="F121" s="40" t="s">
        <v>39</v>
      </c>
      <c r="G121" s="57" t="s">
        <v>28</v>
      </c>
      <c r="H121" s="42">
        <v>3</v>
      </c>
      <c r="I121" s="43">
        <v>48</v>
      </c>
      <c r="J121" s="44">
        <v>416</v>
      </c>
      <c r="K121" s="45">
        <v>129.428624</v>
      </c>
      <c r="L121" s="46">
        <v>6212.573952000001</v>
      </c>
      <c r="M121" s="52"/>
      <c r="O121" s="53"/>
      <c r="P121" s="54"/>
    </row>
    <row r="122" spans="1:16" s="50" customFormat="1" ht="5.25" customHeight="1" thickBot="1">
      <c r="A122" s="49"/>
      <c r="C122" s="110"/>
      <c r="D122" s="111"/>
      <c r="E122" s="112"/>
      <c r="F122" s="113"/>
      <c r="G122" s="114"/>
      <c r="H122" s="115"/>
      <c r="I122" s="114"/>
      <c r="J122" s="114"/>
      <c r="K122" s="116"/>
      <c r="L122" s="117"/>
      <c r="M122" s="118"/>
      <c r="O122" s="53"/>
      <c r="P122" s="54"/>
    </row>
    <row r="123" spans="1:16" s="50" customFormat="1" ht="4.5" customHeight="1" thickTop="1">
      <c r="A123" s="49"/>
      <c r="C123" s="119"/>
      <c r="D123" s="120"/>
      <c r="E123" s="121"/>
      <c r="F123" s="122"/>
      <c r="G123" s="123"/>
      <c r="H123" s="124"/>
      <c r="I123" s="123"/>
      <c r="J123" s="123"/>
      <c r="K123" s="119"/>
      <c r="L123" s="119"/>
      <c r="M123" s="119"/>
      <c r="O123" s="53"/>
      <c r="P123" s="54"/>
    </row>
    <row r="124" spans="1:16" s="50" customFormat="1" ht="12.75" customHeight="1">
      <c r="A124" s="49"/>
      <c r="C124" s="692" t="s">
        <v>176</v>
      </c>
      <c r="D124" s="692"/>
      <c r="E124" s="692"/>
      <c r="F124" s="692"/>
      <c r="O124" s="53"/>
      <c r="P124" s="54"/>
    </row>
    <row r="125" spans="1:16" s="50" customFormat="1" ht="3.75" customHeight="1">
      <c r="A125" s="49"/>
      <c r="C125" s="125"/>
      <c r="D125" s="120"/>
      <c r="E125" s="126"/>
      <c r="F125" s="127"/>
      <c r="G125" s="128"/>
      <c r="H125" s="129"/>
      <c r="I125" s="129"/>
      <c r="J125" s="130"/>
      <c r="K125" s="130"/>
      <c r="L125" s="125"/>
      <c r="M125" s="131"/>
      <c r="O125" s="53"/>
      <c r="P125" s="54"/>
    </row>
    <row r="126" spans="1:16" s="50" customFormat="1" ht="22.5" customHeight="1" hidden="1">
      <c r="A126" s="49"/>
      <c r="C126" s="693" t="s">
        <v>177</v>
      </c>
      <c r="D126" s="693"/>
      <c r="E126" s="693"/>
      <c r="F126" s="693"/>
      <c r="G126" s="693"/>
      <c r="H126" s="693"/>
      <c r="I126" s="693"/>
      <c r="J126" s="693"/>
      <c r="K126" s="693"/>
      <c r="L126" s="693"/>
      <c r="M126" s="693"/>
      <c r="O126" s="53"/>
      <c r="P126" s="54"/>
    </row>
    <row r="127" spans="1:16" s="50" customFormat="1" ht="12.75" customHeight="1">
      <c r="A127" s="49"/>
      <c r="C127" s="694" t="s">
        <v>178</v>
      </c>
      <c r="D127" s="694"/>
      <c r="E127" s="694"/>
      <c r="F127" s="694"/>
      <c r="G127" s="694"/>
      <c r="H127" s="694"/>
      <c r="I127" s="694"/>
      <c r="J127" s="694"/>
      <c r="K127" s="694"/>
      <c r="L127" s="694"/>
      <c r="M127" s="694"/>
      <c r="O127" s="53"/>
      <c r="P127" s="54"/>
    </row>
    <row r="128" spans="1:16" s="50" customFormat="1" ht="4.5" customHeight="1">
      <c r="A128" s="49"/>
      <c r="C128" s="132"/>
      <c r="D128" s="120"/>
      <c r="E128" s="121"/>
      <c r="F128" s="122"/>
      <c r="G128" s="123"/>
      <c r="H128" s="124"/>
      <c r="I128" s="123"/>
      <c r="J128" s="123"/>
      <c r="K128" s="119"/>
      <c r="L128" s="119"/>
      <c r="M128" s="119"/>
      <c r="O128" s="53"/>
      <c r="P128" s="54"/>
    </row>
    <row r="129" spans="1:17" s="134" customFormat="1" ht="25.5">
      <c r="A129" s="133"/>
      <c r="C129" s="695" t="s">
        <v>179</v>
      </c>
      <c r="D129" s="695"/>
      <c r="E129" s="695"/>
      <c r="F129" s="695"/>
      <c r="G129" s="695"/>
      <c r="H129" s="695"/>
      <c r="I129" s="695"/>
      <c r="J129" s="695"/>
      <c r="K129" s="695"/>
      <c r="L129" s="695"/>
      <c r="M129" s="695"/>
      <c r="N129" s="50"/>
      <c r="O129" s="53"/>
      <c r="P129" s="54"/>
      <c r="Q129" s="135"/>
    </row>
    <row r="130" spans="1:17" ht="15" customHeight="1" thickBot="1">
      <c r="A130" s="1"/>
      <c r="C130" s="136"/>
      <c r="D130" s="137"/>
      <c r="E130" s="138"/>
      <c r="G130" s="139"/>
      <c r="H130" s="139"/>
      <c r="I130" s="139"/>
      <c r="J130" s="139"/>
      <c r="K130" s="139"/>
      <c r="L130" s="140"/>
      <c r="M130" s="18" t="s">
        <v>2</v>
      </c>
      <c r="N130" s="50"/>
      <c r="O130" s="53"/>
      <c r="P130" s="54"/>
      <c r="Q130" s="2"/>
    </row>
    <row r="131" spans="1:17" ht="7.5" customHeight="1" thickTop="1">
      <c r="A131" s="1"/>
      <c r="C131" s="19"/>
      <c r="D131" s="141"/>
      <c r="E131" s="142"/>
      <c r="F131" s="23"/>
      <c r="G131" s="23"/>
      <c r="H131" s="23"/>
      <c r="I131" s="23"/>
      <c r="J131" s="23"/>
      <c r="K131" s="23"/>
      <c r="L131" s="26"/>
      <c r="M131" s="27"/>
      <c r="N131" s="50"/>
      <c r="O131" s="53"/>
      <c r="P131" s="54"/>
      <c r="Q131" s="2"/>
    </row>
    <row r="132" spans="1:17" s="50" customFormat="1" ht="21" customHeight="1" thickBot="1">
      <c r="A132" s="49"/>
      <c r="B132" s="52"/>
      <c r="C132" s="143"/>
      <c r="D132" s="696" t="s">
        <v>180</v>
      </c>
      <c r="E132" s="696"/>
      <c r="F132" s="696"/>
      <c r="G132" s="697"/>
      <c r="H132" s="698" t="s">
        <v>181</v>
      </c>
      <c r="I132" s="697"/>
      <c r="J132" s="698" t="s">
        <v>182</v>
      </c>
      <c r="K132" s="696"/>
      <c r="L132" s="696"/>
      <c r="M132" s="144"/>
      <c r="O132" s="53"/>
      <c r="P132" s="54"/>
      <c r="Q132" s="54"/>
    </row>
    <row r="133" spans="1:17" s="50" customFormat="1" ht="15" customHeight="1" thickTop="1">
      <c r="A133" s="49"/>
      <c r="C133" s="143"/>
      <c r="D133" s="699" t="s">
        <v>183</v>
      </c>
      <c r="E133" s="699"/>
      <c r="F133" s="699"/>
      <c r="G133" s="700"/>
      <c r="H133" s="701" t="s">
        <v>184</v>
      </c>
      <c r="I133" s="702"/>
      <c r="J133" s="703">
        <v>508</v>
      </c>
      <c r="K133" s="704"/>
      <c r="L133" s="704"/>
      <c r="M133" s="145"/>
      <c r="O133" s="53"/>
      <c r="P133" s="54"/>
      <c r="Q133" s="54"/>
    </row>
    <row r="134" spans="1:17" s="50" customFormat="1" ht="15" customHeight="1">
      <c r="A134" s="49"/>
      <c r="C134" s="143"/>
      <c r="D134" s="705" t="s">
        <v>185</v>
      </c>
      <c r="E134" s="705"/>
      <c r="F134" s="705"/>
      <c r="G134" s="706"/>
      <c r="H134" s="707" t="s">
        <v>186</v>
      </c>
      <c r="I134" s="708"/>
      <c r="J134" s="709">
        <v>1830</v>
      </c>
      <c r="K134" s="710"/>
      <c r="L134" s="710"/>
      <c r="M134" s="145"/>
      <c r="O134" s="53"/>
      <c r="P134" s="54"/>
      <c r="Q134" s="54"/>
    </row>
    <row r="135" spans="1:17" s="50" customFormat="1" ht="15" customHeight="1">
      <c r="A135" s="49"/>
      <c r="C135" s="143"/>
      <c r="D135" s="705" t="s">
        <v>187</v>
      </c>
      <c r="E135" s="705"/>
      <c r="F135" s="705"/>
      <c r="G135" s="706"/>
      <c r="H135" s="707" t="s">
        <v>188</v>
      </c>
      <c r="I135" s="708"/>
      <c r="J135" s="709">
        <v>18.48</v>
      </c>
      <c r="K135" s="710"/>
      <c r="L135" s="710"/>
      <c r="M135" s="145"/>
      <c r="O135" s="53"/>
      <c r="P135" s="54"/>
      <c r="Q135" s="54"/>
    </row>
    <row r="136" spans="1:17" s="50" customFormat="1" ht="15" customHeight="1">
      <c r="A136" s="49"/>
      <c r="C136" s="143"/>
      <c r="D136" s="705" t="s">
        <v>189</v>
      </c>
      <c r="E136" s="705"/>
      <c r="F136" s="705"/>
      <c r="G136" s="706"/>
      <c r="H136" s="712" t="s">
        <v>190</v>
      </c>
      <c r="I136" s="713"/>
      <c r="J136" s="709">
        <v>76.5</v>
      </c>
      <c r="K136" s="710"/>
      <c r="L136" s="710"/>
      <c r="M136" s="145"/>
      <c r="O136" s="53"/>
      <c r="P136" s="54"/>
      <c r="Q136" s="54"/>
    </row>
    <row r="137" spans="1:17" s="50" customFormat="1" ht="15" customHeight="1">
      <c r="A137" s="49"/>
      <c r="C137" s="143"/>
      <c r="D137" s="714" t="s">
        <v>191</v>
      </c>
      <c r="E137" s="714"/>
      <c r="F137" s="714"/>
      <c r="G137" s="715"/>
      <c r="H137" s="716" t="s">
        <v>192</v>
      </c>
      <c r="I137" s="717"/>
      <c r="J137" s="709">
        <v>770.1</v>
      </c>
      <c r="K137" s="710"/>
      <c r="L137" s="710"/>
      <c r="M137" s="145"/>
      <c r="O137" s="53"/>
      <c r="P137" s="54"/>
      <c r="Q137" s="54"/>
    </row>
    <row r="138" spans="1:17" s="50" customFormat="1" ht="5.25" customHeight="1" thickBot="1">
      <c r="A138" s="49"/>
      <c r="C138" s="110"/>
      <c r="D138" s="146"/>
      <c r="E138" s="147"/>
      <c r="F138" s="148"/>
      <c r="G138" s="148"/>
      <c r="H138" s="149"/>
      <c r="I138" s="148"/>
      <c r="J138" s="114"/>
      <c r="K138" s="114"/>
      <c r="L138" s="117"/>
      <c r="M138" s="118"/>
      <c r="O138" s="53"/>
      <c r="P138" s="54"/>
      <c r="Q138" s="54"/>
    </row>
    <row r="139" spans="1:17" s="50" customFormat="1" ht="5.25" customHeight="1" thickTop="1">
      <c r="A139" s="49"/>
      <c r="C139" s="119"/>
      <c r="D139" s="150"/>
      <c r="E139" s="151"/>
      <c r="F139" s="123"/>
      <c r="G139" s="123"/>
      <c r="H139" s="124"/>
      <c r="I139" s="123"/>
      <c r="J139" s="123"/>
      <c r="K139" s="123"/>
      <c r="L139" s="119"/>
      <c r="M139" s="119"/>
      <c r="O139" s="53"/>
      <c r="P139" s="54"/>
      <c r="Q139" s="54"/>
    </row>
    <row r="140" spans="1:16" s="50" customFormat="1" ht="12" customHeight="1" hidden="1">
      <c r="A140" s="49"/>
      <c r="C140" s="152" t="s">
        <v>193</v>
      </c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O140" s="53"/>
      <c r="P140" s="54"/>
    </row>
    <row r="141" spans="1:16" s="50" customFormat="1" ht="12" customHeight="1" hidden="1">
      <c r="A141" s="49"/>
      <c r="C141" s="154" t="s">
        <v>194</v>
      </c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5"/>
      <c r="O141" s="156"/>
      <c r="P141" s="54"/>
    </row>
    <row r="142" spans="1:16" s="50" customFormat="1" ht="12" customHeight="1" hidden="1">
      <c r="A142" s="49"/>
      <c r="C142" s="154" t="s">
        <v>195</v>
      </c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5"/>
      <c r="O142" s="156"/>
      <c r="P142" s="54"/>
    </row>
    <row r="143" spans="1:16" s="50" customFormat="1" ht="12" customHeight="1" hidden="1">
      <c r="A143" s="49"/>
      <c r="C143" s="154" t="s">
        <v>196</v>
      </c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5"/>
      <c r="O143" s="156"/>
      <c r="P143" s="54"/>
    </row>
    <row r="144" spans="1:16" s="50" customFormat="1" ht="12" customHeight="1" hidden="1">
      <c r="A144" s="49"/>
      <c r="C144" s="154" t="s">
        <v>197</v>
      </c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5"/>
      <c r="O144" s="156"/>
      <c r="P144" s="54"/>
    </row>
    <row r="145" spans="1:16" s="50" customFormat="1" ht="12" customHeight="1">
      <c r="A145" s="49"/>
      <c r="C145" s="158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5"/>
      <c r="O145" s="156"/>
      <c r="P145" s="54"/>
    </row>
    <row r="146" spans="1:16" s="50" customFormat="1" ht="5.25" customHeight="1">
      <c r="A146" s="49"/>
      <c r="C146" s="159"/>
      <c r="D146" s="160"/>
      <c r="E146" s="161"/>
      <c r="F146" s="162"/>
      <c r="G146" s="159"/>
      <c r="H146" s="159"/>
      <c r="I146" s="159"/>
      <c r="J146" s="159"/>
      <c r="K146" s="159"/>
      <c r="L146" s="159"/>
      <c r="O146" s="53"/>
      <c r="P146" s="54"/>
    </row>
    <row r="147" spans="1:16" s="50" customFormat="1" ht="24" customHeight="1">
      <c r="A147" s="49"/>
      <c r="C147" s="711" t="s">
        <v>199</v>
      </c>
      <c r="D147" s="711"/>
      <c r="E147" s="711"/>
      <c r="F147" s="711"/>
      <c r="G147" s="711"/>
      <c r="H147" s="711"/>
      <c r="I147" s="711"/>
      <c r="J147" s="711"/>
      <c r="K147" s="711"/>
      <c r="L147" s="711"/>
      <c r="M147" s="711"/>
      <c r="O147" s="53"/>
      <c r="P147" s="54"/>
    </row>
    <row r="148" spans="1:16" s="50" customFormat="1" ht="12" customHeight="1" hidden="1">
      <c r="A148" s="49"/>
      <c r="C148" s="159" t="s">
        <v>200</v>
      </c>
      <c r="D148" s="160"/>
      <c r="E148" s="161"/>
      <c r="F148" s="162"/>
      <c r="G148" s="159"/>
      <c r="H148" s="159"/>
      <c r="I148" s="159"/>
      <c r="J148" s="159"/>
      <c r="K148" s="159"/>
      <c r="L148" s="159"/>
      <c r="O148" s="53"/>
      <c r="P148" s="54"/>
    </row>
    <row r="149" spans="1:16" s="50" customFormat="1" ht="9" customHeight="1">
      <c r="A149" s="49"/>
      <c r="D149" s="5"/>
      <c r="E149" s="163"/>
      <c r="F149" s="164"/>
      <c r="G149" s="165"/>
      <c r="H149" s="165"/>
      <c r="I149" s="165"/>
      <c r="J149" s="165"/>
      <c r="O149" s="53"/>
      <c r="P149" s="54"/>
    </row>
    <row r="150" spans="1:16" s="50" customFormat="1" ht="10.5" customHeight="1">
      <c r="A150" s="49"/>
      <c r="B150" s="49"/>
      <c r="C150" s="53"/>
      <c r="D150" s="53"/>
      <c r="E150" s="53"/>
      <c r="F150" s="53"/>
      <c r="G150" s="166"/>
      <c r="H150" s="166"/>
      <c r="I150" s="166"/>
      <c r="J150" s="166"/>
      <c r="K150" s="53"/>
      <c r="L150" s="53"/>
      <c r="M150" s="53"/>
      <c r="N150" s="53"/>
      <c r="O150" s="53"/>
      <c r="P150" s="54"/>
    </row>
    <row r="151" spans="1:10" s="2" customFormat="1" ht="9.75" customHeight="1">
      <c r="A151" s="1"/>
      <c r="G151" s="3"/>
      <c r="H151" s="3"/>
      <c r="I151" s="3"/>
      <c r="J151" s="3"/>
    </row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customHeight="1" hidden="1"/>
    <row r="813" ht="12.75" customHeight="1" hidden="1"/>
    <row r="814" ht="12.75" customHeight="1" hidden="1"/>
    <row r="815" ht="12.75" customHeight="1" hidden="1"/>
    <row r="816" ht="12.75" customHeight="1" hidden="1"/>
    <row r="817" ht="12.75" customHeight="1" hidden="1"/>
    <row r="818" ht="12.75" customHeight="1" hidden="1"/>
    <row r="819" ht="12.75" customHeight="1" hidden="1"/>
    <row r="820" ht="12.75" customHeight="1" hidden="1"/>
    <row r="821" ht="12.75" customHeight="1" hidden="1"/>
    <row r="822" ht="12.75" customHeight="1" hidden="1"/>
    <row r="823" ht="0" customHeight="1" hidden="1"/>
    <row r="824" ht="0" customHeight="1" hidden="1"/>
    <row r="825" ht="0" customHeight="1" hidden="1"/>
    <row r="826" ht="0" customHeight="1" hidden="1"/>
    <row r="827" ht="0" customHeight="1" hidden="1"/>
    <row r="828" ht="0" customHeight="1" hidden="1"/>
    <row r="829" ht="0" customHeight="1" hidden="1"/>
    <row r="830" ht="0" customHeight="1" hidden="1"/>
    <row r="831" ht="0" customHeight="1" hidden="1"/>
    <row r="832" ht="0" customHeight="1" hidden="1"/>
    <row r="833" ht="0" customHeight="1" hidden="1"/>
    <row r="834" ht="0" customHeight="1" hidden="1"/>
    <row r="835" ht="0" customHeight="1" hidden="1"/>
    <row r="836" ht="0" customHeight="1" hidden="1"/>
    <row r="837" ht="0" customHeight="1" hidden="1"/>
    <row r="838" ht="0" customHeight="1" hidden="1"/>
    <row r="839" ht="0" customHeight="1" hidden="1"/>
    <row r="840" ht="0" customHeight="1" hidden="1"/>
    <row r="841" ht="0" customHeight="1" hidden="1"/>
    <row r="842" ht="0" customHeight="1" hidden="1"/>
    <row r="843" ht="0" customHeight="1" hidden="1"/>
    <row r="844" ht="0" customHeight="1" hidden="1"/>
    <row r="845" ht="0" customHeight="1" hidden="1"/>
    <row r="846" ht="0" customHeight="1" hidden="1"/>
    <row r="847" ht="0" customHeight="1" hidden="1"/>
    <row r="848" ht="0" customHeight="1" hidden="1"/>
    <row r="849" ht="0" customHeight="1" hidden="1"/>
    <row r="850" ht="0" customHeight="1" hidden="1"/>
    <row r="851" ht="0" customHeight="1" hidden="1"/>
    <row r="852" ht="0" customHeight="1" hidden="1"/>
    <row r="853" ht="0" customHeight="1" hidden="1"/>
    <row r="854" ht="0" customHeight="1" hidden="1"/>
    <row r="855" ht="0" customHeight="1" hidden="1"/>
    <row r="856" ht="0" customHeight="1" hidden="1"/>
    <row r="857" ht="0" customHeight="1" hidden="1"/>
    <row r="858" ht="0" customHeight="1" hidden="1"/>
    <row r="859" ht="0" customHeight="1" hidden="1"/>
    <row r="860" ht="0" customHeight="1" hidden="1"/>
    <row r="861" ht="0" customHeight="1" hidden="1"/>
    <row r="862" ht="0" customHeight="1" hidden="1"/>
    <row r="863" ht="0" customHeight="1" hidden="1"/>
    <row r="864" ht="0" customHeight="1" hidden="1"/>
    <row r="865" ht="0" customHeight="1" hidden="1"/>
    <row r="866" ht="0" customHeight="1" hidden="1"/>
    <row r="867" ht="0" customHeight="1" hidden="1"/>
    <row r="868" ht="0" customHeight="1" hidden="1"/>
    <row r="869" ht="0" customHeight="1" hidden="1"/>
    <row r="870" ht="0" customHeight="1" hidden="1"/>
    <row r="871" ht="0" customHeight="1" hidden="1"/>
    <row r="872" ht="0" customHeight="1" hidden="1"/>
    <row r="873" ht="0" customHeight="1" hidden="1"/>
    <row r="874" ht="0" customHeight="1" hidden="1"/>
    <row r="875" ht="0" customHeight="1" hidden="1"/>
    <row r="876" ht="0" customHeight="1" hidden="1"/>
    <row r="877" ht="0" customHeight="1" hidden="1"/>
    <row r="878" ht="0" customHeight="1" hidden="1"/>
    <row r="879" ht="0" customHeight="1" hidden="1"/>
    <row r="880" ht="0" customHeight="1" hidden="1"/>
    <row r="881" ht="0" customHeight="1" hidden="1"/>
    <row r="882" ht="0" customHeight="1" hidden="1"/>
    <row r="883" ht="0" customHeight="1" hidden="1"/>
    <row r="884" ht="0" customHeight="1" hidden="1"/>
    <row r="885" ht="0" customHeight="1" hidden="1"/>
    <row r="886" ht="0" customHeight="1" hidden="1"/>
    <row r="887" ht="0" customHeight="1" hidden="1"/>
    <row r="888" ht="0" customHeight="1" hidden="1"/>
    <row r="889" ht="0" customHeight="1" hidden="1"/>
    <row r="890" ht="0" customHeight="1" hidden="1"/>
    <row r="891" ht="0" customHeight="1" hidden="1"/>
    <row r="892" ht="0" customHeight="1" hidden="1"/>
    <row r="893" ht="0" customHeight="1" hidden="1"/>
    <row r="894" ht="0" customHeight="1" hidden="1"/>
  </sheetData>
  <sheetProtection/>
  <mergeCells count="69">
    <mergeCell ref="C147:M147"/>
    <mergeCell ref="D136:G136"/>
    <mergeCell ref="H136:I136"/>
    <mergeCell ref="J136:L136"/>
    <mergeCell ref="D137:G137"/>
    <mergeCell ref="H137:I137"/>
    <mergeCell ref="J137:L137"/>
    <mergeCell ref="D134:G134"/>
    <mergeCell ref="H134:I134"/>
    <mergeCell ref="J134:L134"/>
    <mergeCell ref="D135:G135"/>
    <mergeCell ref="H135:I135"/>
    <mergeCell ref="J135:L135"/>
    <mergeCell ref="D132:G132"/>
    <mergeCell ref="H132:I132"/>
    <mergeCell ref="J132:L132"/>
    <mergeCell ref="D133:G133"/>
    <mergeCell ref="H133:I133"/>
    <mergeCell ref="J133:L133"/>
    <mergeCell ref="E107:E108"/>
    <mergeCell ref="D110:E110"/>
    <mergeCell ref="C124:F124"/>
    <mergeCell ref="C126:M126"/>
    <mergeCell ref="C127:M127"/>
    <mergeCell ref="C129:M129"/>
    <mergeCell ref="E90:E91"/>
    <mergeCell ref="D92:E92"/>
    <mergeCell ref="E96:E97"/>
    <mergeCell ref="E98:E99"/>
    <mergeCell ref="E100:E101"/>
    <mergeCell ref="E105:E106"/>
    <mergeCell ref="E63:E67"/>
    <mergeCell ref="E69:E70"/>
    <mergeCell ref="E71:E72"/>
    <mergeCell ref="E73:E74"/>
    <mergeCell ref="E75:E76"/>
    <mergeCell ref="E87:E88"/>
    <mergeCell ref="D43:E43"/>
    <mergeCell ref="E44:E47"/>
    <mergeCell ref="E48:E49"/>
    <mergeCell ref="E50:E51"/>
    <mergeCell ref="E52:E58"/>
    <mergeCell ref="E60:E62"/>
    <mergeCell ref="E27:E30"/>
    <mergeCell ref="K27:L27"/>
    <mergeCell ref="E33:E34"/>
    <mergeCell ref="E36:E38"/>
    <mergeCell ref="E39:E40"/>
    <mergeCell ref="E41:E42"/>
    <mergeCell ref="K13:L13"/>
    <mergeCell ref="D15:F15"/>
    <mergeCell ref="D24:D25"/>
    <mergeCell ref="E24:E25"/>
    <mergeCell ref="F24:F25"/>
    <mergeCell ref="G24:G25"/>
    <mergeCell ref="H24:H25"/>
    <mergeCell ref="I24:I25"/>
    <mergeCell ref="J24:J25"/>
    <mergeCell ref="K24:L24"/>
    <mergeCell ref="C6:M6"/>
    <mergeCell ref="D9:L9"/>
    <mergeCell ref="G11:M11"/>
    <mergeCell ref="D13:D14"/>
    <mergeCell ref="E13:E14"/>
    <mergeCell ref="F13:F14"/>
    <mergeCell ref="G13:G14"/>
    <mergeCell ref="H13:H14"/>
    <mergeCell ref="I13:I14"/>
    <mergeCell ref="J13:J14"/>
  </mergeCells>
  <hyperlinks>
    <hyperlink ref="D10" location="Меню!A1" display="Вернуться назад"/>
  </hyperlinks>
  <printOptions horizontalCentered="1"/>
  <pageMargins left="0.7874015748031497" right="0.7874015748031497" top="0.3937007874015748" bottom="0.3937007874015748" header="0" footer="0"/>
  <pageSetup fitToHeight="4" horizontalDpi="600" verticalDpi="600" orientation="portrait" paperSize="9" scale="50" r:id="rId2"/>
  <headerFooter alignWithMargins="0">
    <oddFooter>&amp;RСтраница &amp;P из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A1:IV202"/>
  <sheetViews>
    <sheetView showGridLines="0" zoomScaleSheetLayoutView="90" workbookViewId="0" topLeftCell="A1">
      <pane ySplit="14" topLeftCell="A15" activePane="bottomLeft" state="frozen"/>
      <selection pane="topLeft" activeCell="B16" sqref="B16:H16"/>
      <selection pane="bottomLeft" activeCell="C99" sqref="C99:P99"/>
    </sheetView>
  </sheetViews>
  <sheetFormatPr defaultColWidth="0" defaultRowHeight="0" customHeight="1" zeroHeight="1"/>
  <cols>
    <col min="1" max="3" width="1.421875" style="9" customWidth="1"/>
    <col min="4" max="4" width="9.7109375" style="9" customWidth="1"/>
    <col min="5" max="5" width="9.57421875" style="9" customWidth="1"/>
    <col min="6" max="6" width="32.28125" style="9" customWidth="1"/>
    <col min="7" max="7" width="7.00390625" style="174" customWidth="1"/>
    <col min="8" max="8" width="12.57421875" style="9" customWidth="1"/>
    <col min="9" max="9" width="17.28125" style="9" customWidth="1"/>
    <col min="10" max="10" width="6.421875" style="9" customWidth="1"/>
    <col min="11" max="12" width="7.57421875" style="9" customWidth="1"/>
    <col min="13" max="13" width="10.140625" style="9" customWidth="1"/>
    <col min="14" max="15" width="11.421875" style="9" customWidth="1"/>
    <col min="16" max="17" width="1.421875" style="9" customWidth="1"/>
    <col min="18" max="18" width="1.8515625" style="9" customWidth="1"/>
    <col min="19" max="19" width="1.421875" style="9" customWidth="1"/>
    <col min="20" max="16384" width="0" style="9" hidden="1" customWidth="1"/>
  </cols>
  <sheetData>
    <row r="1" spans="1:13" s="2" customFormat="1" ht="8.25" customHeight="1">
      <c r="A1" s="1"/>
      <c r="D1" s="168"/>
      <c r="E1" s="168"/>
      <c r="F1" s="169"/>
      <c r="G1" s="170"/>
      <c r="H1" s="171"/>
      <c r="I1" s="3"/>
      <c r="J1" s="3"/>
      <c r="K1" s="3"/>
      <c r="L1" s="3"/>
      <c r="M1" s="3"/>
    </row>
    <row r="2" spans="1:17" s="2" customFormat="1" ht="8.25" customHeight="1">
      <c r="A2" s="1"/>
      <c r="B2" s="4"/>
      <c r="C2" s="4"/>
      <c r="D2" s="172"/>
      <c r="E2" s="172"/>
      <c r="F2" s="6"/>
      <c r="G2" s="173"/>
      <c r="H2" s="7"/>
      <c r="I2" s="8"/>
      <c r="J2" s="8"/>
      <c r="K2" s="8"/>
      <c r="L2" s="8"/>
      <c r="M2" s="8"/>
      <c r="N2" s="4"/>
      <c r="O2" s="4"/>
      <c r="P2" s="4"/>
      <c r="Q2" s="4"/>
    </row>
    <row r="3" spans="1:19" ht="12" customHeight="1">
      <c r="A3" s="1"/>
      <c r="D3" s="174"/>
      <c r="E3" s="174"/>
      <c r="F3" s="175"/>
      <c r="G3" s="176"/>
      <c r="H3" s="138"/>
      <c r="I3" s="10"/>
      <c r="J3" s="10"/>
      <c r="K3" s="10"/>
      <c r="L3" s="10"/>
      <c r="M3" s="10"/>
      <c r="R3" s="11"/>
      <c r="S3" s="2"/>
    </row>
    <row r="4" spans="1:19" ht="57" customHeight="1">
      <c r="A4" s="1"/>
      <c r="D4" s="174"/>
      <c r="E4" s="174"/>
      <c r="F4" s="175"/>
      <c r="G4" s="176"/>
      <c r="H4" s="138"/>
      <c r="I4" s="10"/>
      <c r="J4" s="10"/>
      <c r="K4" s="10"/>
      <c r="L4" s="10"/>
      <c r="M4" s="10"/>
      <c r="R4" s="11"/>
      <c r="S4" s="2"/>
    </row>
    <row r="5" spans="1:19" ht="1.5" customHeight="1">
      <c r="A5" s="1"/>
      <c r="D5" s="174"/>
      <c r="E5" s="174"/>
      <c r="F5" s="175"/>
      <c r="G5" s="176"/>
      <c r="H5" s="138"/>
      <c r="I5" s="10"/>
      <c r="J5" s="10"/>
      <c r="K5" s="10"/>
      <c r="L5" s="10"/>
      <c r="M5" s="10"/>
      <c r="R5" s="11"/>
      <c r="S5" s="2"/>
    </row>
    <row r="6" spans="1:19" ht="27.75" customHeight="1">
      <c r="A6" s="1"/>
      <c r="C6" s="718" t="s">
        <v>201</v>
      </c>
      <c r="D6" s="718"/>
      <c r="E6" s="718"/>
      <c r="F6" s="718"/>
      <c r="G6" s="718"/>
      <c r="H6" s="718"/>
      <c r="I6" s="718"/>
      <c r="J6" s="718"/>
      <c r="K6" s="718"/>
      <c r="L6" s="718"/>
      <c r="M6" s="718"/>
      <c r="N6" s="718"/>
      <c r="O6" s="718"/>
      <c r="P6" s="718"/>
      <c r="R6" s="11"/>
      <c r="S6" s="2"/>
    </row>
    <row r="7" spans="1:19" ht="17.25" customHeight="1">
      <c r="A7" s="1"/>
      <c r="C7" s="719" t="s">
        <v>202</v>
      </c>
      <c r="D7" s="719"/>
      <c r="E7" s="719"/>
      <c r="F7" s="719"/>
      <c r="G7" s="719"/>
      <c r="H7" s="719"/>
      <c r="I7" s="719"/>
      <c r="J7" s="719"/>
      <c r="K7" s="719"/>
      <c r="L7" s="719"/>
      <c r="M7" s="719"/>
      <c r="N7" s="719"/>
      <c r="O7" s="719"/>
      <c r="P7" s="177"/>
      <c r="R7" s="11"/>
      <c r="S7" s="2"/>
    </row>
    <row r="8" spans="1:19" ht="9" customHeight="1" hidden="1">
      <c r="A8" s="1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7"/>
      <c r="R8" s="11"/>
      <c r="S8" s="2"/>
    </row>
    <row r="9" spans="1:19" ht="9" customHeight="1" hidden="1">
      <c r="A9" s="1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7"/>
      <c r="R9" s="11"/>
      <c r="S9" s="2"/>
    </row>
    <row r="10" spans="1:19" ht="15" customHeight="1">
      <c r="A10" s="1"/>
      <c r="C10" s="178"/>
      <c r="D10" s="179" t="s">
        <v>1</v>
      </c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7"/>
      <c r="R10" s="11"/>
      <c r="S10" s="2"/>
    </row>
    <row r="11" spans="1:19" ht="15.75" customHeight="1" thickBot="1">
      <c r="A11" s="1"/>
      <c r="D11" s="180">
        <v>43512</v>
      </c>
      <c r="E11" s="181"/>
      <c r="F11" s="182"/>
      <c r="G11" s="183"/>
      <c r="H11" s="138"/>
      <c r="I11" s="720" t="s">
        <v>2</v>
      </c>
      <c r="J11" s="720"/>
      <c r="K11" s="720"/>
      <c r="L11" s="720"/>
      <c r="M11" s="720"/>
      <c r="N11" s="720"/>
      <c r="O11" s="720"/>
      <c r="P11" s="720"/>
      <c r="R11" s="11"/>
      <c r="S11" s="2"/>
    </row>
    <row r="12" spans="1:19" ht="7.5" customHeight="1" thickTop="1">
      <c r="A12" s="1"/>
      <c r="C12" s="19"/>
      <c r="D12" s="184"/>
      <c r="E12" s="184"/>
      <c r="F12" s="141"/>
      <c r="G12" s="185"/>
      <c r="H12" s="142"/>
      <c r="I12" s="23"/>
      <c r="J12" s="23"/>
      <c r="K12" s="23"/>
      <c r="L12" s="23"/>
      <c r="M12" s="23"/>
      <c r="N12" s="26"/>
      <c r="O12" s="26"/>
      <c r="P12" s="27"/>
      <c r="R12" s="11"/>
      <c r="S12" s="2"/>
    </row>
    <row r="13" spans="1:19" s="37" customFormat="1" ht="15" customHeight="1">
      <c r="A13" s="36"/>
      <c r="C13" s="28"/>
      <c r="D13" s="721" t="s">
        <v>203</v>
      </c>
      <c r="E13" s="723" t="s">
        <v>204</v>
      </c>
      <c r="F13" s="725" t="s">
        <v>180</v>
      </c>
      <c r="G13" s="725" t="s">
        <v>205</v>
      </c>
      <c r="H13" s="727" t="s">
        <v>5</v>
      </c>
      <c r="I13" s="727" t="s">
        <v>206</v>
      </c>
      <c r="J13" s="721" t="s">
        <v>7</v>
      </c>
      <c r="K13" s="723" t="s">
        <v>8</v>
      </c>
      <c r="L13" s="723" t="s">
        <v>9</v>
      </c>
      <c r="M13" s="725" t="s">
        <v>207</v>
      </c>
      <c r="N13" s="729" t="s">
        <v>208</v>
      </c>
      <c r="O13" s="730"/>
      <c r="P13" s="29"/>
      <c r="R13" s="47"/>
      <c r="S13" s="48"/>
    </row>
    <row r="14" spans="1:19" s="37" customFormat="1" ht="19.5" customHeight="1">
      <c r="A14" s="36"/>
      <c r="C14" s="28"/>
      <c r="D14" s="722"/>
      <c r="E14" s="724"/>
      <c r="F14" s="726"/>
      <c r="G14" s="726"/>
      <c r="H14" s="728"/>
      <c r="I14" s="728"/>
      <c r="J14" s="722"/>
      <c r="K14" s="724"/>
      <c r="L14" s="724"/>
      <c r="M14" s="726"/>
      <c r="N14" s="187" t="s">
        <v>11</v>
      </c>
      <c r="O14" s="188" t="s">
        <v>12</v>
      </c>
      <c r="P14" s="29"/>
      <c r="R14" s="47"/>
      <c r="S14" s="48"/>
    </row>
    <row r="15" spans="1:19" s="37" customFormat="1" ht="19.5" customHeight="1">
      <c r="A15" s="36" t="s">
        <v>209</v>
      </c>
      <c r="C15" s="28"/>
      <c r="D15" s="731" t="s">
        <v>209</v>
      </c>
      <c r="E15" s="731"/>
      <c r="F15" s="731"/>
      <c r="G15" s="189"/>
      <c r="H15" s="190"/>
      <c r="I15" s="190"/>
      <c r="J15" s="190"/>
      <c r="K15" s="190"/>
      <c r="L15" s="190"/>
      <c r="M15" s="190"/>
      <c r="N15" s="186"/>
      <c r="O15" s="186"/>
      <c r="P15" s="29"/>
      <c r="R15" s="47"/>
      <c r="S15" s="48"/>
    </row>
    <row r="16" spans="1:19" s="50" customFormat="1" ht="13.5" customHeight="1">
      <c r="A16" s="49"/>
      <c r="C16" s="51"/>
      <c r="D16" s="191">
        <v>12450230</v>
      </c>
      <c r="E16" s="192" t="s">
        <v>210</v>
      </c>
      <c r="F16" s="193" t="s">
        <v>211</v>
      </c>
      <c r="G16" s="194" t="s">
        <v>212</v>
      </c>
      <c r="H16" s="195" t="s">
        <v>213</v>
      </c>
      <c r="I16" s="194" t="s">
        <v>28</v>
      </c>
      <c r="J16" s="196">
        <v>1.65</v>
      </c>
      <c r="K16" s="197">
        <v>57</v>
      </c>
      <c r="L16" s="198">
        <v>904</v>
      </c>
      <c r="M16" s="199">
        <v>12656</v>
      </c>
      <c r="N16" s="200">
        <v>49.664472</v>
      </c>
      <c r="O16" s="201">
        <v>2830.8749040000002</v>
      </c>
      <c r="P16" s="52"/>
      <c r="R16" s="53"/>
      <c r="S16" s="54"/>
    </row>
    <row r="17" spans="1:19" s="50" customFormat="1" ht="13.5" customHeight="1">
      <c r="A17" s="49"/>
      <c r="C17" s="51"/>
      <c r="D17" s="191">
        <v>12453030</v>
      </c>
      <c r="E17" s="192" t="s">
        <v>210</v>
      </c>
      <c r="F17" s="193" t="s">
        <v>214</v>
      </c>
      <c r="G17" s="194" t="s">
        <v>212</v>
      </c>
      <c r="H17" s="195" t="s">
        <v>213</v>
      </c>
      <c r="I17" s="194" t="s">
        <v>28</v>
      </c>
      <c r="J17" s="196">
        <v>1.65</v>
      </c>
      <c r="K17" s="197">
        <v>57</v>
      </c>
      <c r="L17" s="198">
        <v>904</v>
      </c>
      <c r="M17" s="199">
        <v>12656</v>
      </c>
      <c r="N17" s="200">
        <v>53.426932</v>
      </c>
      <c r="O17" s="201">
        <v>3045.335124</v>
      </c>
      <c r="P17" s="52"/>
      <c r="R17" s="53"/>
      <c r="S17" s="54"/>
    </row>
    <row r="18" spans="1:19" s="37" customFormat="1" ht="13.5" customHeight="1">
      <c r="A18" s="36"/>
      <c r="C18" s="28"/>
      <c r="D18" s="202">
        <v>166010</v>
      </c>
      <c r="E18" s="203" t="s">
        <v>210</v>
      </c>
      <c r="F18" s="204" t="s">
        <v>215</v>
      </c>
      <c r="G18" s="205" t="s">
        <v>212</v>
      </c>
      <c r="H18" s="206" t="s">
        <v>216</v>
      </c>
      <c r="I18" s="205" t="s">
        <v>28</v>
      </c>
      <c r="J18" s="207">
        <v>2.39</v>
      </c>
      <c r="K18" s="208">
        <v>57</v>
      </c>
      <c r="L18" s="208">
        <v>528</v>
      </c>
      <c r="M18" s="209">
        <v>7920</v>
      </c>
      <c r="N18" s="210">
        <v>77.506676</v>
      </c>
      <c r="O18" s="210">
        <v>4417.880532</v>
      </c>
      <c r="P18" s="29"/>
      <c r="R18" s="47"/>
      <c r="S18" s="48"/>
    </row>
    <row r="19" spans="1:19" s="50" customFormat="1" ht="13.5" customHeight="1">
      <c r="A19" s="49"/>
      <c r="C19" s="51"/>
      <c r="D19" s="191">
        <v>12453130</v>
      </c>
      <c r="E19" s="192" t="s">
        <v>210</v>
      </c>
      <c r="F19" s="193" t="s">
        <v>217</v>
      </c>
      <c r="G19" s="194" t="s">
        <v>212</v>
      </c>
      <c r="H19" s="195" t="s">
        <v>213</v>
      </c>
      <c r="I19" s="194" t="s">
        <v>28</v>
      </c>
      <c r="J19" s="196">
        <v>1.65</v>
      </c>
      <c r="K19" s="197">
        <v>57</v>
      </c>
      <c r="L19" s="198">
        <v>904</v>
      </c>
      <c r="M19" s="199">
        <v>12656</v>
      </c>
      <c r="N19" s="200">
        <v>51.921948</v>
      </c>
      <c r="O19" s="201">
        <v>2959.551036</v>
      </c>
      <c r="P19" s="52"/>
      <c r="R19" s="53"/>
      <c r="S19" s="54"/>
    </row>
    <row r="20" spans="1:19" s="37" customFormat="1" ht="13.5" customHeight="1">
      <c r="A20" s="36"/>
      <c r="C20" s="28"/>
      <c r="D20" s="211">
        <v>152110</v>
      </c>
      <c r="E20" s="192" t="s">
        <v>210</v>
      </c>
      <c r="F20" s="193" t="s">
        <v>218</v>
      </c>
      <c r="G20" s="194" t="s">
        <v>212</v>
      </c>
      <c r="H20" s="195" t="s">
        <v>216</v>
      </c>
      <c r="I20" s="194" t="s">
        <v>28</v>
      </c>
      <c r="J20" s="196">
        <v>2.39</v>
      </c>
      <c r="K20" s="212">
        <v>57</v>
      </c>
      <c r="L20" s="212">
        <v>528</v>
      </c>
      <c r="M20" s="209">
        <v>7920</v>
      </c>
      <c r="N20" s="210">
        <v>74.496708</v>
      </c>
      <c r="O20" s="210">
        <v>4246.312355999999</v>
      </c>
      <c r="P20" s="29"/>
      <c r="R20" s="47"/>
      <c r="S20" s="48"/>
    </row>
    <row r="21" spans="1:19" s="50" customFormat="1" ht="13.5" customHeight="1">
      <c r="A21" s="49"/>
      <c r="C21" s="51"/>
      <c r="D21" s="211">
        <v>12702212</v>
      </c>
      <c r="E21" s="192" t="s">
        <v>210</v>
      </c>
      <c r="F21" s="193" t="s">
        <v>219</v>
      </c>
      <c r="G21" s="194" t="s">
        <v>212</v>
      </c>
      <c r="H21" s="195" t="s">
        <v>216</v>
      </c>
      <c r="I21" s="194" t="s">
        <v>28</v>
      </c>
      <c r="J21" s="213">
        <v>2.33</v>
      </c>
      <c r="K21" s="198">
        <v>57</v>
      </c>
      <c r="L21" s="198">
        <v>680</v>
      </c>
      <c r="M21" s="209">
        <v>8160</v>
      </c>
      <c r="N21" s="200">
        <v>76.75418400000001</v>
      </c>
      <c r="O21" s="201">
        <v>4374.988488000001</v>
      </c>
      <c r="P21" s="52"/>
      <c r="R21" s="53"/>
      <c r="S21" s="54"/>
    </row>
    <row r="22" spans="1:19" s="37" customFormat="1" ht="13.5" customHeight="1" hidden="1">
      <c r="A22" s="36"/>
      <c r="C22" s="28"/>
      <c r="D22" s="211">
        <v>160210</v>
      </c>
      <c r="E22" s="192" t="s">
        <v>210</v>
      </c>
      <c r="F22" s="193" t="s">
        <v>220</v>
      </c>
      <c r="G22" s="194" t="s">
        <v>212</v>
      </c>
      <c r="H22" s="214" t="s">
        <v>216</v>
      </c>
      <c r="I22" s="194" t="s">
        <v>28</v>
      </c>
      <c r="J22" s="207">
        <v>2.39</v>
      </c>
      <c r="K22" s="208">
        <v>57</v>
      </c>
      <c r="L22" s="208">
        <v>528</v>
      </c>
      <c r="M22" s="209">
        <v>7920</v>
      </c>
      <c r="N22" s="210">
        <v>0</v>
      </c>
      <c r="O22" s="210">
        <v>0</v>
      </c>
      <c r="P22" s="29"/>
      <c r="R22" s="47"/>
      <c r="S22" s="48"/>
    </row>
    <row r="23" spans="1:19" s="50" customFormat="1" ht="13.5" customHeight="1" hidden="1">
      <c r="A23" s="49"/>
      <c r="C23" s="51"/>
      <c r="D23" s="191">
        <v>12802912</v>
      </c>
      <c r="E23" s="192" t="s">
        <v>210</v>
      </c>
      <c r="F23" s="193" t="s">
        <v>221</v>
      </c>
      <c r="G23" s="194" t="s">
        <v>212</v>
      </c>
      <c r="H23" s="195" t="s">
        <v>216</v>
      </c>
      <c r="I23" s="194" t="s">
        <v>28</v>
      </c>
      <c r="J23" s="196">
        <v>2.12</v>
      </c>
      <c r="K23" s="212">
        <v>57</v>
      </c>
      <c r="L23" s="212">
        <v>652</v>
      </c>
      <c r="M23" s="209">
        <v>9128</v>
      </c>
      <c r="N23" s="200">
        <v>78.259168</v>
      </c>
      <c r="O23" s="201">
        <v>4460.772576</v>
      </c>
      <c r="P23" s="52"/>
      <c r="R23" s="53"/>
      <c r="S23" s="54"/>
    </row>
    <row r="24" spans="1:19" s="50" customFormat="1" ht="18.75" customHeight="1">
      <c r="A24" s="49"/>
      <c r="C24" s="51"/>
      <c r="D24" s="731" t="s">
        <v>222</v>
      </c>
      <c r="E24" s="731"/>
      <c r="F24" s="731"/>
      <c r="G24" s="215"/>
      <c r="H24" s="215"/>
      <c r="I24" s="215"/>
      <c r="J24" s="216"/>
      <c r="K24" s="215"/>
      <c r="L24" s="215"/>
      <c r="M24" s="209"/>
      <c r="N24" s="217"/>
      <c r="O24" s="218"/>
      <c r="P24" s="52"/>
      <c r="R24" s="53"/>
      <c r="S24" s="54"/>
    </row>
    <row r="25" spans="1:19" s="37" customFormat="1" ht="13.5" customHeight="1">
      <c r="A25" s="36"/>
      <c r="C25" s="28"/>
      <c r="D25" s="211">
        <v>151810</v>
      </c>
      <c r="E25" s="192" t="s">
        <v>210</v>
      </c>
      <c r="F25" s="193" t="s">
        <v>223</v>
      </c>
      <c r="G25" s="194" t="s">
        <v>212</v>
      </c>
      <c r="H25" s="195" t="s">
        <v>224</v>
      </c>
      <c r="I25" s="194" t="s">
        <v>28</v>
      </c>
      <c r="J25" s="207">
        <v>2.44</v>
      </c>
      <c r="K25" s="208">
        <v>59</v>
      </c>
      <c r="L25" s="208">
        <v>528</v>
      </c>
      <c r="M25" s="209">
        <v>7920</v>
      </c>
      <c r="N25" s="210">
        <v>90.29904</v>
      </c>
      <c r="O25" s="210">
        <v>5327.64336</v>
      </c>
      <c r="P25" s="29"/>
      <c r="R25" s="47"/>
      <c r="S25" s="48"/>
    </row>
    <row r="26" spans="1:19" s="37" customFormat="1" ht="13.5" customHeight="1" hidden="1">
      <c r="A26" s="36"/>
      <c r="C26" s="28"/>
      <c r="D26" s="211">
        <v>154810</v>
      </c>
      <c r="E26" s="192" t="s">
        <v>210</v>
      </c>
      <c r="F26" s="193" t="s">
        <v>225</v>
      </c>
      <c r="G26" s="194" t="s">
        <v>212</v>
      </c>
      <c r="H26" s="195" t="s">
        <v>224</v>
      </c>
      <c r="I26" s="194" t="s">
        <v>28</v>
      </c>
      <c r="J26" s="207">
        <v>2.44</v>
      </c>
      <c r="K26" s="208">
        <v>57</v>
      </c>
      <c r="L26" s="208">
        <v>528</v>
      </c>
      <c r="M26" s="209" t="e">
        <v>#N/A</v>
      </c>
      <c r="N26" s="210">
        <v>0</v>
      </c>
      <c r="O26" s="210">
        <v>0</v>
      </c>
      <c r="P26" s="29"/>
      <c r="R26" s="47"/>
      <c r="S26" s="48"/>
    </row>
    <row r="27" spans="1:19" s="37" customFormat="1" ht="13.5" customHeight="1">
      <c r="A27" s="36"/>
      <c r="C27" s="28"/>
      <c r="D27" s="211">
        <v>154910</v>
      </c>
      <c r="E27" s="192" t="s">
        <v>210</v>
      </c>
      <c r="F27" s="193" t="s">
        <v>226</v>
      </c>
      <c r="G27" s="194" t="s">
        <v>212</v>
      </c>
      <c r="H27" s="195" t="s">
        <v>224</v>
      </c>
      <c r="I27" s="194" t="s">
        <v>28</v>
      </c>
      <c r="J27" s="207">
        <v>2.44</v>
      </c>
      <c r="K27" s="208">
        <v>59</v>
      </c>
      <c r="L27" s="208">
        <v>528</v>
      </c>
      <c r="M27" s="209">
        <v>7920</v>
      </c>
      <c r="N27" s="210">
        <v>90.29904</v>
      </c>
      <c r="O27" s="210">
        <v>5327.64336</v>
      </c>
      <c r="P27" s="29"/>
      <c r="R27" s="47"/>
      <c r="S27" s="48"/>
    </row>
    <row r="28" spans="1:19" s="37" customFormat="1" ht="13.5" customHeight="1">
      <c r="A28" s="36"/>
      <c r="C28" s="28"/>
      <c r="D28" s="211">
        <v>152110</v>
      </c>
      <c r="E28" s="192" t="s">
        <v>210</v>
      </c>
      <c r="F28" s="193" t="s">
        <v>218</v>
      </c>
      <c r="G28" s="194" t="s">
        <v>212</v>
      </c>
      <c r="H28" s="195" t="s">
        <v>216</v>
      </c>
      <c r="I28" s="194" t="s">
        <v>28</v>
      </c>
      <c r="J28" s="207">
        <v>2.39</v>
      </c>
      <c r="K28" s="208">
        <v>57</v>
      </c>
      <c r="L28" s="208">
        <v>528</v>
      </c>
      <c r="M28" s="209">
        <v>7920</v>
      </c>
      <c r="N28" s="210">
        <v>74.496708</v>
      </c>
      <c r="O28" s="210">
        <v>4246.312355999999</v>
      </c>
      <c r="P28" s="29"/>
      <c r="R28" s="47"/>
      <c r="S28" s="48"/>
    </row>
    <row r="29" spans="1:19" s="37" customFormat="1" ht="13.5" customHeight="1" hidden="1">
      <c r="A29" s="36"/>
      <c r="C29" s="28"/>
      <c r="D29" s="211">
        <v>151510</v>
      </c>
      <c r="E29" s="192" t="s">
        <v>210</v>
      </c>
      <c r="F29" s="193" t="s">
        <v>227</v>
      </c>
      <c r="G29" s="194" t="s">
        <v>212</v>
      </c>
      <c r="H29" s="195" t="s">
        <v>216</v>
      </c>
      <c r="I29" s="194" t="s">
        <v>28</v>
      </c>
      <c r="J29" s="207">
        <v>2.39</v>
      </c>
      <c r="K29" s="208">
        <v>57</v>
      </c>
      <c r="L29" s="208">
        <v>528</v>
      </c>
      <c r="M29" s="209" t="e">
        <v>#N/A</v>
      </c>
      <c r="N29" s="219">
        <v>0</v>
      </c>
      <c r="O29" s="220">
        <v>0</v>
      </c>
      <c r="P29" s="29"/>
      <c r="R29" s="47"/>
      <c r="S29" s="48"/>
    </row>
    <row r="30" spans="1:19" s="37" customFormat="1" ht="13.5" customHeight="1">
      <c r="A30" s="36"/>
      <c r="C30" s="28"/>
      <c r="D30" s="211">
        <v>153110</v>
      </c>
      <c r="E30" s="192" t="s">
        <v>210</v>
      </c>
      <c r="F30" s="193" t="s">
        <v>228</v>
      </c>
      <c r="G30" s="194" t="s">
        <v>212</v>
      </c>
      <c r="H30" s="195" t="s">
        <v>216</v>
      </c>
      <c r="I30" s="194" t="s">
        <v>28</v>
      </c>
      <c r="J30" s="207">
        <v>2.39</v>
      </c>
      <c r="K30" s="208">
        <v>57</v>
      </c>
      <c r="L30" s="208">
        <v>528</v>
      </c>
      <c r="M30" s="209">
        <v>7920</v>
      </c>
      <c r="N30" s="210">
        <v>76.75418400000001</v>
      </c>
      <c r="O30" s="210">
        <v>4374.988488000001</v>
      </c>
      <c r="P30" s="29"/>
      <c r="R30" s="47"/>
      <c r="S30" s="48"/>
    </row>
    <row r="31" spans="1:19" s="37" customFormat="1" ht="13.5" customHeight="1" hidden="1">
      <c r="A31" s="36"/>
      <c r="C31" s="28"/>
      <c r="D31" s="211">
        <v>152410</v>
      </c>
      <c r="E31" s="192" t="s">
        <v>210</v>
      </c>
      <c r="F31" s="193" t="s">
        <v>229</v>
      </c>
      <c r="G31" s="194" t="s">
        <v>212</v>
      </c>
      <c r="H31" s="195" t="s">
        <v>216</v>
      </c>
      <c r="I31" s="194" t="s">
        <v>28</v>
      </c>
      <c r="J31" s="207">
        <v>2.39</v>
      </c>
      <c r="K31" s="208">
        <v>57</v>
      </c>
      <c r="L31" s="208">
        <v>528</v>
      </c>
      <c r="M31" s="209" t="e">
        <v>#N/A</v>
      </c>
      <c r="N31" s="210">
        <v>0</v>
      </c>
      <c r="O31" s="210">
        <v>0</v>
      </c>
      <c r="P31" s="29"/>
      <c r="R31" s="47"/>
      <c r="S31" s="48"/>
    </row>
    <row r="32" spans="1:19" s="37" customFormat="1" ht="13.5" customHeight="1">
      <c r="A32" s="36"/>
      <c r="C32" s="28"/>
      <c r="D32" s="211">
        <v>154710</v>
      </c>
      <c r="E32" s="192" t="s">
        <v>210</v>
      </c>
      <c r="F32" s="193" t="s">
        <v>230</v>
      </c>
      <c r="G32" s="194" t="s">
        <v>212</v>
      </c>
      <c r="H32" s="214" t="s">
        <v>231</v>
      </c>
      <c r="I32" s="194" t="s">
        <v>28</v>
      </c>
      <c r="J32" s="207">
        <v>2.24</v>
      </c>
      <c r="K32" s="208">
        <v>57</v>
      </c>
      <c r="L32" s="208">
        <v>528</v>
      </c>
      <c r="M32" s="209">
        <v>8448</v>
      </c>
      <c r="N32" s="210">
        <v>72.239232</v>
      </c>
      <c r="O32" s="210">
        <v>4117.636224</v>
      </c>
      <c r="P32" s="29"/>
      <c r="R32" s="47"/>
      <c r="S32" s="48"/>
    </row>
    <row r="33" spans="1:19" s="37" customFormat="1" ht="13.5" customHeight="1" hidden="1">
      <c r="A33" s="36"/>
      <c r="C33" s="28"/>
      <c r="D33" s="211">
        <v>151610</v>
      </c>
      <c r="E33" s="192" t="s">
        <v>210</v>
      </c>
      <c r="F33" s="193" t="s">
        <v>232</v>
      </c>
      <c r="G33" s="194" t="s">
        <v>212</v>
      </c>
      <c r="H33" s="214" t="s">
        <v>216</v>
      </c>
      <c r="I33" s="194" t="s">
        <v>28</v>
      </c>
      <c r="J33" s="207">
        <v>2.39</v>
      </c>
      <c r="K33" s="208">
        <v>57</v>
      </c>
      <c r="L33" s="208">
        <v>528</v>
      </c>
      <c r="M33" s="209" t="e">
        <v>#N/A</v>
      </c>
      <c r="N33" s="210">
        <v>0</v>
      </c>
      <c r="O33" s="210">
        <v>0</v>
      </c>
      <c r="P33" s="29"/>
      <c r="R33" s="47"/>
      <c r="S33" s="48"/>
    </row>
    <row r="34" spans="1:19" s="37" customFormat="1" ht="13.5" customHeight="1" hidden="1">
      <c r="A34" s="36"/>
      <c r="C34" s="28"/>
      <c r="D34" s="211">
        <v>151410</v>
      </c>
      <c r="E34" s="192" t="s">
        <v>210</v>
      </c>
      <c r="F34" s="193" t="s">
        <v>233</v>
      </c>
      <c r="G34" s="194" t="s">
        <v>212</v>
      </c>
      <c r="H34" s="214" t="s">
        <v>216</v>
      </c>
      <c r="I34" s="194" t="s">
        <v>28</v>
      </c>
      <c r="J34" s="207">
        <v>2.39</v>
      </c>
      <c r="K34" s="208">
        <v>57</v>
      </c>
      <c r="L34" s="208">
        <v>528</v>
      </c>
      <c r="M34" s="209" t="e">
        <v>#N/A</v>
      </c>
      <c r="N34" s="219">
        <v>0</v>
      </c>
      <c r="O34" s="220">
        <v>0</v>
      </c>
      <c r="P34" s="29"/>
      <c r="R34" s="47"/>
      <c r="S34" s="48"/>
    </row>
    <row r="35" spans="1:19" s="37" customFormat="1" ht="13.5" customHeight="1">
      <c r="A35" s="36"/>
      <c r="C35" s="28"/>
      <c r="D35" s="202">
        <v>166010</v>
      </c>
      <c r="E35" s="203" t="s">
        <v>210</v>
      </c>
      <c r="F35" s="204" t="s">
        <v>215</v>
      </c>
      <c r="G35" s="205" t="s">
        <v>212</v>
      </c>
      <c r="H35" s="206" t="s">
        <v>216</v>
      </c>
      <c r="I35" s="205" t="s">
        <v>28</v>
      </c>
      <c r="J35" s="207">
        <v>2.39</v>
      </c>
      <c r="K35" s="208">
        <v>57</v>
      </c>
      <c r="L35" s="208">
        <v>528</v>
      </c>
      <c r="M35" s="209">
        <v>7920</v>
      </c>
      <c r="N35" s="210">
        <v>77.506676</v>
      </c>
      <c r="O35" s="210">
        <v>4417.880532</v>
      </c>
      <c r="P35" s="29"/>
      <c r="R35" s="47"/>
      <c r="S35" s="48"/>
    </row>
    <row r="36" spans="1:19" s="37" customFormat="1" ht="13.5" customHeight="1" hidden="1">
      <c r="A36" s="36"/>
      <c r="C36" s="28"/>
      <c r="D36" s="211">
        <v>166210</v>
      </c>
      <c r="E36" s="192" t="s">
        <v>210</v>
      </c>
      <c r="F36" s="193" t="s">
        <v>234</v>
      </c>
      <c r="G36" s="194" t="s">
        <v>212</v>
      </c>
      <c r="H36" s="214" t="s">
        <v>216</v>
      </c>
      <c r="I36" s="194" t="s">
        <v>28</v>
      </c>
      <c r="J36" s="207">
        <v>2.39</v>
      </c>
      <c r="K36" s="208">
        <v>57</v>
      </c>
      <c r="L36" s="208">
        <v>528</v>
      </c>
      <c r="M36" s="209" t="e">
        <v>#N/A</v>
      </c>
      <c r="N36" s="210">
        <v>0</v>
      </c>
      <c r="O36" s="210">
        <v>0</v>
      </c>
      <c r="P36" s="29"/>
      <c r="R36" s="47"/>
      <c r="S36" s="48"/>
    </row>
    <row r="37" spans="1:19" s="37" customFormat="1" ht="13.5" customHeight="1">
      <c r="A37" s="36"/>
      <c r="C37" s="28"/>
      <c r="D37" s="211">
        <v>166110</v>
      </c>
      <c r="E37" s="192" t="s">
        <v>210</v>
      </c>
      <c r="F37" s="193" t="s">
        <v>235</v>
      </c>
      <c r="G37" s="194" t="s">
        <v>212</v>
      </c>
      <c r="H37" s="214" t="s">
        <v>216</v>
      </c>
      <c r="I37" s="194" t="s">
        <v>28</v>
      </c>
      <c r="J37" s="207">
        <v>2.39</v>
      </c>
      <c r="K37" s="208">
        <v>57</v>
      </c>
      <c r="L37" s="208">
        <v>528</v>
      </c>
      <c r="M37" s="209">
        <v>7920</v>
      </c>
      <c r="N37" s="210">
        <v>76.001692</v>
      </c>
      <c r="O37" s="210">
        <v>4332.096444000001</v>
      </c>
      <c r="P37" s="29"/>
      <c r="R37" s="47"/>
      <c r="S37" s="48"/>
    </row>
    <row r="38" spans="1:19" s="37" customFormat="1" ht="13.5" customHeight="1" hidden="1">
      <c r="A38" s="36"/>
      <c r="C38" s="28"/>
      <c r="D38" s="211">
        <v>160210</v>
      </c>
      <c r="E38" s="192" t="s">
        <v>210</v>
      </c>
      <c r="F38" s="193" t="s">
        <v>220</v>
      </c>
      <c r="G38" s="194" t="s">
        <v>212</v>
      </c>
      <c r="H38" s="214" t="s">
        <v>216</v>
      </c>
      <c r="I38" s="194" t="s">
        <v>28</v>
      </c>
      <c r="J38" s="207">
        <v>2.39</v>
      </c>
      <c r="K38" s="208">
        <v>57</v>
      </c>
      <c r="L38" s="208">
        <v>528</v>
      </c>
      <c r="M38" s="209">
        <v>7920</v>
      </c>
      <c r="N38" s="210">
        <v>0</v>
      </c>
      <c r="O38" s="210">
        <v>0</v>
      </c>
      <c r="P38" s="29"/>
      <c r="R38" s="47"/>
      <c r="S38" s="48"/>
    </row>
    <row r="39" spans="1:19" s="50" customFormat="1" ht="18.75" customHeight="1">
      <c r="A39" s="49"/>
      <c r="C39" s="51"/>
      <c r="D39" s="731" t="s">
        <v>236</v>
      </c>
      <c r="E39" s="731"/>
      <c r="F39" s="731"/>
      <c r="G39" s="215"/>
      <c r="H39" s="221"/>
      <c r="I39" s="215"/>
      <c r="J39" s="216"/>
      <c r="K39" s="215"/>
      <c r="L39" s="215"/>
      <c r="M39" s="209"/>
      <c r="N39" s="217"/>
      <c r="O39" s="217"/>
      <c r="P39" s="52"/>
      <c r="R39" s="53"/>
      <c r="S39" s="54"/>
    </row>
    <row r="40" spans="1:19" s="37" customFormat="1" ht="13.5" customHeight="1">
      <c r="A40" s="36"/>
      <c r="C40" s="28"/>
      <c r="D40" s="211">
        <v>167610</v>
      </c>
      <c r="E40" s="192" t="s">
        <v>210</v>
      </c>
      <c r="F40" s="193" t="s">
        <v>237</v>
      </c>
      <c r="G40" s="194" t="s">
        <v>212</v>
      </c>
      <c r="H40" s="214" t="s">
        <v>216</v>
      </c>
      <c r="I40" s="194" t="s">
        <v>28</v>
      </c>
      <c r="J40" s="222">
        <v>2.39</v>
      </c>
      <c r="K40" s="223">
        <v>57</v>
      </c>
      <c r="L40" s="223">
        <v>528</v>
      </c>
      <c r="M40" s="209">
        <v>7920</v>
      </c>
      <c r="N40" s="210">
        <v>82.021628</v>
      </c>
      <c r="O40" s="210">
        <v>4675.232796</v>
      </c>
      <c r="P40" s="29"/>
      <c r="R40" s="47"/>
      <c r="S40" s="48"/>
    </row>
    <row r="41" spans="1:19" s="50" customFormat="1" ht="18.75" customHeight="1">
      <c r="A41" s="49"/>
      <c r="C41" s="51"/>
      <c r="D41" s="731" t="s">
        <v>238</v>
      </c>
      <c r="E41" s="731"/>
      <c r="F41" s="731"/>
      <c r="G41" s="215"/>
      <c r="H41" s="221"/>
      <c r="I41" s="215"/>
      <c r="J41" s="224"/>
      <c r="K41" s="225"/>
      <c r="L41" s="225"/>
      <c r="M41" s="209"/>
      <c r="N41" s="226"/>
      <c r="O41" s="227"/>
      <c r="P41" s="52"/>
      <c r="R41" s="53"/>
      <c r="S41" s="54"/>
    </row>
    <row r="42" spans="1:19" s="37" customFormat="1" ht="13.5" customHeight="1">
      <c r="A42" s="36"/>
      <c r="C42" s="28"/>
      <c r="D42" s="211">
        <v>134510</v>
      </c>
      <c r="E42" s="192" t="s">
        <v>210</v>
      </c>
      <c r="F42" s="193" t="s">
        <v>239</v>
      </c>
      <c r="G42" s="194" t="s">
        <v>240</v>
      </c>
      <c r="H42" s="214" t="s">
        <v>231</v>
      </c>
      <c r="I42" s="194" t="s">
        <v>28</v>
      </c>
      <c r="J42" s="222">
        <v>2.7</v>
      </c>
      <c r="K42" s="223">
        <v>57</v>
      </c>
      <c r="L42" s="223">
        <v>552</v>
      </c>
      <c r="M42" s="209">
        <v>7176</v>
      </c>
      <c r="N42" s="210">
        <v>113.626292</v>
      </c>
      <c r="O42" s="210">
        <v>6476.698644</v>
      </c>
      <c r="P42" s="29"/>
      <c r="R42" s="47"/>
      <c r="S42" s="48"/>
    </row>
    <row r="43" spans="1:19" s="50" customFormat="1" ht="13.5" customHeight="1" hidden="1">
      <c r="A43" s="49"/>
      <c r="C43" s="51"/>
      <c r="D43" s="211">
        <v>133050</v>
      </c>
      <c r="E43" s="192" t="s">
        <v>210</v>
      </c>
      <c r="F43" s="193" t="s">
        <v>241</v>
      </c>
      <c r="G43" s="194" t="s">
        <v>240</v>
      </c>
      <c r="H43" s="214" t="s">
        <v>231</v>
      </c>
      <c r="I43" s="194" t="s">
        <v>28</v>
      </c>
      <c r="J43" s="222">
        <v>2.71</v>
      </c>
      <c r="K43" s="223">
        <v>57</v>
      </c>
      <c r="L43" s="223">
        <v>552</v>
      </c>
      <c r="M43" s="209">
        <v>7176</v>
      </c>
      <c r="N43" s="210">
        <v>109.863832</v>
      </c>
      <c r="O43" s="210">
        <v>6262.238424</v>
      </c>
      <c r="P43" s="52"/>
      <c r="R43" s="53"/>
      <c r="S43" s="54"/>
    </row>
    <row r="44" spans="1:19" s="50" customFormat="1" ht="13.5" customHeight="1">
      <c r="A44" s="49"/>
      <c r="C44" s="51"/>
      <c r="D44" s="211">
        <v>133850</v>
      </c>
      <c r="E44" s="192" t="s">
        <v>210</v>
      </c>
      <c r="F44" s="193" t="s">
        <v>242</v>
      </c>
      <c r="G44" s="194" t="s">
        <v>240</v>
      </c>
      <c r="H44" s="214" t="s">
        <v>231</v>
      </c>
      <c r="I44" s="194" t="s">
        <v>28</v>
      </c>
      <c r="J44" s="222">
        <v>2.71</v>
      </c>
      <c r="K44" s="223">
        <v>57</v>
      </c>
      <c r="L44" s="223">
        <v>552</v>
      </c>
      <c r="M44" s="209">
        <v>8280</v>
      </c>
      <c r="N44" s="210">
        <v>100.83392800000001</v>
      </c>
      <c r="O44" s="210">
        <v>5747.533896000001</v>
      </c>
      <c r="P44" s="52"/>
      <c r="R44" s="53"/>
      <c r="S44" s="54"/>
    </row>
    <row r="45" spans="1:19" s="50" customFormat="1" ht="13.5" customHeight="1">
      <c r="A45" s="49"/>
      <c r="C45" s="51"/>
      <c r="D45" s="211">
        <v>133700</v>
      </c>
      <c r="E45" s="192" t="s">
        <v>210</v>
      </c>
      <c r="F45" s="193" t="s">
        <v>243</v>
      </c>
      <c r="G45" s="194" t="s">
        <v>240</v>
      </c>
      <c r="H45" s="214" t="s">
        <v>231</v>
      </c>
      <c r="I45" s="194" t="s">
        <v>28</v>
      </c>
      <c r="J45" s="222">
        <v>2.71</v>
      </c>
      <c r="K45" s="223">
        <v>57</v>
      </c>
      <c r="L45" s="223">
        <v>552</v>
      </c>
      <c r="M45" s="209">
        <v>7176</v>
      </c>
      <c r="N45" s="210">
        <v>112.8738</v>
      </c>
      <c r="O45" s="210">
        <v>6433.8066</v>
      </c>
      <c r="P45" s="52"/>
      <c r="R45" s="53"/>
      <c r="S45" s="54"/>
    </row>
    <row r="46" spans="1:19" s="50" customFormat="1" ht="13.5" customHeight="1" hidden="1">
      <c r="A46" s="49"/>
      <c r="C46" s="51"/>
      <c r="D46" s="211">
        <v>133420</v>
      </c>
      <c r="E46" s="192" t="s">
        <v>210</v>
      </c>
      <c r="F46" s="193" t="s">
        <v>244</v>
      </c>
      <c r="G46" s="194" t="s">
        <v>240</v>
      </c>
      <c r="H46" s="214" t="s">
        <v>231</v>
      </c>
      <c r="I46" s="194" t="s">
        <v>28</v>
      </c>
      <c r="J46" s="222">
        <v>2.58</v>
      </c>
      <c r="K46" s="223">
        <v>57</v>
      </c>
      <c r="L46" s="223">
        <v>546</v>
      </c>
      <c r="M46" s="209">
        <v>7176</v>
      </c>
      <c r="N46" s="210">
        <v>0</v>
      </c>
      <c r="O46" s="210">
        <v>0</v>
      </c>
      <c r="P46" s="52"/>
      <c r="R46" s="53"/>
      <c r="S46" s="54"/>
    </row>
    <row r="47" spans="1:19" s="50" customFormat="1" ht="18.75" customHeight="1">
      <c r="A47" s="49"/>
      <c r="C47" s="51"/>
      <c r="D47" s="731" t="s">
        <v>245</v>
      </c>
      <c r="E47" s="731"/>
      <c r="F47" s="731"/>
      <c r="G47" s="215"/>
      <c r="H47" s="221"/>
      <c r="I47" s="215"/>
      <c r="J47" s="224"/>
      <c r="K47" s="225"/>
      <c r="L47" s="225"/>
      <c r="M47" s="209"/>
      <c r="N47" s="227"/>
      <c r="O47" s="227"/>
      <c r="P47" s="52"/>
      <c r="R47" s="53"/>
      <c r="S47" s="54"/>
    </row>
    <row r="48" spans="1:19" s="50" customFormat="1" ht="13.5" customHeight="1">
      <c r="A48" s="49"/>
      <c r="C48" s="51"/>
      <c r="D48" s="211">
        <v>12715710</v>
      </c>
      <c r="E48" s="192" t="s">
        <v>210</v>
      </c>
      <c r="F48" s="193" t="s">
        <v>246</v>
      </c>
      <c r="G48" s="194" t="s">
        <v>212</v>
      </c>
      <c r="H48" s="214" t="s">
        <v>247</v>
      </c>
      <c r="I48" s="194" t="s">
        <v>28</v>
      </c>
      <c r="J48" s="222">
        <v>2.22</v>
      </c>
      <c r="K48" s="223">
        <v>57</v>
      </c>
      <c r="L48" s="223">
        <v>600</v>
      </c>
      <c r="M48" s="209">
        <v>8400</v>
      </c>
      <c r="N48" s="210">
        <v>111.368816</v>
      </c>
      <c r="O48" s="210">
        <v>6348.022512</v>
      </c>
      <c r="P48" s="52"/>
      <c r="R48" s="53"/>
      <c r="S48" s="54"/>
    </row>
    <row r="49" spans="1:19" s="50" customFormat="1" ht="13.5" customHeight="1">
      <c r="A49" s="49"/>
      <c r="C49" s="51"/>
      <c r="D49" s="211">
        <v>12715910</v>
      </c>
      <c r="E49" s="192" t="s">
        <v>210</v>
      </c>
      <c r="F49" s="193" t="s">
        <v>248</v>
      </c>
      <c r="G49" s="194" t="s">
        <v>212</v>
      </c>
      <c r="H49" s="214" t="s">
        <v>247</v>
      </c>
      <c r="I49" s="194" t="s">
        <v>28</v>
      </c>
      <c r="J49" s="222">
        <v>2.22</v>
      </c>
      <c r="K49" s="223">
        <v>57</v>
      </c>
      <c r="L49" s="223">
        <v>600</v>
      </c>
      <c r="M49" s="209">
        <v>8400</v>
      </c>
      <c r="N49" s="210">
        <v>111.368816</v>
      </c>
      <c r="O49" s="210">
        <v>6348.022512</v>
      </c>
      <c r="P49" s="52"/>
      <c r="R49" s="53"/>
      <c r="S49" s="54"/>
    </row>
    <row r="50" spans="1:19" s="37" customFormat="1" ht="13.5" customHeight="1">
      <c r="A50" s="36"/>
      <c r="C50" s="28"/>
      <c r="D50" s="211">
        <v>12715610</v>
      </c>
      <c r="E50" s="192" t="s">
        <v>210</v>
      </c>
      <c r="F50" s="193" t="s">
        <v>249</v>
      </c>
      <c r="G50" s="194" t="s">
        <v>212</v>
      </c>
      <c r="H50" s="214" t="s">
        <v>247</v>
      </c>
      <c r="I50" s="194" t="s">
        <v>28</v>
      </c>
      <c r="J50" s="222">
        <v>2.77</v>
      </c>
      <c r="K50" s="223">
        <v>57</v>
      </c>
      <c r="L50" s="223">
        <v>600</v>
      </c>
      <c r="M50" s="209">
        <v>6600</v>
      </c>
      <c r="N50" s="210">
        <v>125.666164</v>
      </c>
      <c r="O50" s="210">
        <v>7162.971348</v>
      </c>
      <c r="P50" s="29"/>
      <c r="R50" s="47"/>
      <c r="S50" s="48"/>
    </row>
    <row r="51" spans="1:19" s="37" customFormat="1" ht="13.5" customHeight="1">
      <c r="A51" s="36"/>
      <c r="C51" s="28"/>
      <c r="D51" s="211">
        <v>12715810</v>
      </c>
      <c r="E51" s="192" t="s">
        <v>210</v>
      </c>
      <c r="F51" s="193" t="s">
        <v>250</v>
      </c>
      <c r="G51" s="194" t="s">
        <v>212</v>
      </c>
      <c r="H51" s="214" t="s">
        <v>247</v>
      </c>
      <c r="I51" s="194" t="s">
        <v>28</v>
      </c>
      <c r="J51" s="222">
        <v>2.22</v>
      </c>
      <c r="K51" s="223">
        <v>57</v>
      </c>
      <c r="L51" s="223">
        <v>600</v>
      </c>
      <c r="M51" s="209">
        <v>8400</v>
      </c>
      <c r="N51" s="210">
        <v>111.368816</v>
      </c>
      <c r="O51" s="210">
        <v>6348.022512</v>
      </c>
      <c r="P51" s="29"/>
      <c r="R51" s="47"/>
      <c r="S51" s="48"/>
    </row>
    <row r="52" spans="1:19" s="50" customFormat="1" ht="13.5" customHeight="1">
      <c r="A52" s="49"/>
      <c r="C52" s="51"/>
      <c r="D52" s="211">
        <v>12715410</v>
      </c>
      <c r="E52" s="192" t="s">
        <v>210</v>
      </c>
      <c r="F52" s="193" t="s">
        <v>251</v>
      </c>
      <c r="G52" s="194" t="s">
        <v>212</v>
      </c>
      <c r="H52" s="214" t="s">
        <v>247</v>
      </c>
      <c r="I52" s="194" t="s">
        <v>28</v>
      </c>
      <c r="J52" s="222">
        <v>2.22</v>
      </c>
      <c r="K52" s="223">
        <v>57</v>
      </c>
      <c r="L52" s="223">
        <v>600</v>
      </c>
      <c r="M52" s="209">
        <v>8400</v>
      </c>
      <c r="N52" s="210">
        <v>111.368816</v>
      </c>
      <c r="O52" s="210">
        <v>6348.022512</v>
      </c>
      <c r="P52" s="52"/>
      <c r="R52" s="53"/>
      <c r="S52" s="54"/>
    </row>
    <row r="53" spans="1:19" s="50" customFormat="1" ht="13.5" customHeight="1" hidden="1">
      <c r="A53" s="49"/>
      <c r="C53" s="51"/>
      <c r="D53" s="211">
        <v>12715510</v>
      </c>
      <c r="E53" s="192" t="s">
        <v>210</v>
      </c>
      <c r="F53" s="193" t="s">
        <v>252</v>
      </c>
      <c r="G53" s="194" t="s">
        <v>212</v>
      </c>
      <c r="H53" s="214" t="s">
        <v>247</v>
      </c>
      <c r="I53" s="194" t="s">
        <v>28</v>
      </c>
      <c r="J53" s="222">
        <v>2.77</v>
      </c>
      <c r="K53" s="223">
        <v>57</v>
      </c>
      <c r="L53" s="223">
        <v>600</v>
      </c>
      <c r="M53" s="209">
        <v>6600</v>
      </c>
      <c r="N53" s="210">
        <v>0</v>
      </c>
      <c r="O53" s="210">
        <v>0</v>
      </c>
      <c r="P53" s="52"/>
      <c r="R53" s="53"/>
      <c r="S53" s="54"/>
    </row>
    <row r="54" spans="1:19" s="50" customFormat="1" ht="18.75" customHeight="1">
      <c r="A54" s="49"/>
      <c r="C54" s="51"/>
      <c r="D54" s="731" t="s">
        <v>253</v>
      </c>
      <c r="E54" s="731"/>
      <c r="F54" s="731"/>
      <c r="G54" s="215"/>
      <c r="H54" s="221"/>
      <c r="I54" s="215"/>
      <c r="J54" s="224"/>
      <c r="K54" s="225"/>
      <c r="L54" s="225"/>
      <c r="M54" s="209"/>
      <c r="N54" s="227"/>
      <c r="O54" s="227"/>
      <c r="P54" s="52"/>
      <c r="R54" s="53"/>
      <c r="S54" s="54"/>
    </row>
    <row r="55" spans="1:19" s="50" customFormat="1" ht="13.5" customHeight="1">
      <c r="A55" s="49"/>
      <c r="C55" s="51"/>
      <c r="D55" s="211">
        <v>12808112</v>
      </c>
      <c r="E55" s="192" t="s">
        <v>210</v>
      </c>
      <c r="F55" s="193" t="s">
        <v>254</v>
      </c>
      <c r="G55" s="194" t="s">
        <v>212</v>
      </c>
      <c r="H55" s="195" t="s">
        <v>216</v>
      </c>
      <c r="I55" s="194" t="s">
        <v>28</v>
      </c>
      <c r="J55" s="222">
        <v>2.26</v>
      </c>
      <c r="K55" s="223">
        <v>57</v>
      </c>
      <c r="L55" s="223">
        <v>652</v>
      </c>
      <c r="M55" s="209">
        <v>8476</v>
      </c>
      <c r="N55" s="200">
        <v>78.259168</v>
      </c>
      <c r="O55" s="201">
        <v>4460.772576</v>
      </c>
      <c r="P55" s="52"/>
      <c r="R55" s="53"/>
      <c r="S55" s="54"/>
    </row>
    <row r="56" spans="1:19" s="50" customFormat="1" ht="13.5" customHeight="1">
      <c r="A56" s="49"/>
      <c r="C56" s="51"/>
      <c r="D56" s="191">
        <v>12802912</v>
      </c>
      <c r="E56" s="192" t="s">
        <v>210</v>
      </c>
      <c r="F56" s="193" t="s">
        <v>221</v>
      </c>
      <c r="G56" s="194" t="s">
        <v>212</v>
      </c>
      <c r="H56" s="195" t="s">
        <v>216</v>
      </c>
      <c r="I56" s="194" t="s">
        <v>28</v>
      </c>
      <c r="J56" s="222">
        <v>2.12</v>
      </c>
      <c r="K56" s="223">
        <v>57</v>
      </c>
      <c r="L56" s="223">
        <v>652</v>
      </c>
      <c r="M56" s="209">
        <v>9128</v>
      </c>
      <c r="N56" s="200">
        <v>78.259168</v>
      </c>
      <c r="O56" s="201">
        <v>4460.772576</v>
      </c>
      <c r="P56" s="52"/>
      <c r="R56" s="53"/>
      <c r="S56" s="54"/>
    </row>
    <row r="57" spans="1:19" s="50" customFormat="1" ht="13.5" customHeight="1">
      <c r="A57" s="49"/>
      <c r="C57" s="51"/>
      <c r="D57" s="211">
        <v>12802212</v>
      </c>
      <c r="E57" s="192" t="s">
        <v>210</v>
      </c>
      <c r="F57" s="193" t="s">
        <v>255</v>
      </c>
      <c r="G57" s="194" t="s">
        <v>212</v>
      </c>
      <c r="H57" s="195" t="s">
        <v>216</v>
      </c>
      <c r="I57" s="194" t="s">
        <v>28</v>
      </c>
      <c r="J57" s="222">
        <v>2.12</v>
      </c>
      <c r="K57" s="223">
        <v>57</v>
      </c>
      <c r="L57" s="223">
        <v>652</v>
      </c>
      <c r="M57" s="209">
        <v>9128</v>
      </c>
      <c r="N57" s="200">
        <v>79.76415200000001</v>
      </c>
      <c r="O57" s="201">
        <v>4546.556664000001</v>
      </c>
      <c r="P57" s="52"/>
      <c r="R57" s="53"/>
      <c r="S57" s="54"/>
    </row>
    <row r="58" spans="1:19" s="50" customFormat="1" ht="13.5" customHeight="1" hidden="1">
      <c r="A58" s="49"/>
      <c r="C58" s="51"/>
      <c r="D58" s="228">
        <v>12800812</v>
      </c>
      <c r="E58" s="203" t="s">
        <v>210</v>
      </c>
      <c r="F58" s="204" t="s">
        <v>256</v>
      </c>
      <c r="G58" s="205" t="s">
        <v>212</v>
      </c>
      <c r="H58" s="229" t="s">
        <v>216</v>
      </c>
      <c r="I58" s="205" t="s">
        <v>28</v>
      </c>
      <c r="J58" s="222">
        <v>2.06</v>
      </c>
      <c r="K58" s="223">
        <v>57</v>
      </c>
      <c r="L58" s="223">
        <v>652</v>
      </c>
      <c r="M58" s="209">
        <v>9128</v>
      </c>
      <c r="N58" s="200">
        <v>0</v>
      </c>
      <c r="O58" s="201">
        <v>0</v>
      </c>
      <c r="P58" s="52"/>
      <c r="R58" s="53"/>
      <c r="S58" s="54"/>
    </row>
    <row r="59" spans="1:19" s="50" customFormat="1" ht="13.5" customHeight="1" hidden="1">
      <c r="A59" s="49"/>
      <c r="C59" s="51"/>
      <c r="D59" s="191">
        <v>12800212</v>
      </c>
      <c r="E59" s="192" t="s">
        <v>210</v>
      </c>
      <c r="F59" s="193" t="s">
        <v>257</v>
      </c>
      <c r="G59" s="194" t="s">
        <v>212</v>
      </c>
      <c r="H59" s="195" t="s">
        <v>216</v>
      </c>
      <c r="I59" s="194" t="s">
        <v>28</v>
      </c>
      <c r="J59" s="213">
        <v>2.12</v>
      </c>
      <c r="K59" s="198">
        <v>57</v>
      </c>
      <c r="L59" s="198">
        <v>652</v>
      </c>
      <c r="M59" s="209">
        <v>9128</v>
      </c>
      <c r="N59" s="200">
        <v>0</v>
      </c>
      <c r="O59" s="201">
        <v>0</v>
      </c>
      <c r="P59" s="52"/>
      <c r="R59" s="53"/>
      <c r="S59" s="54"/>
    </row>
    <row r="60" spans="1:19" s="50" customFormat="1" ht="13.5" customHeight="1" hidden="1">
      <c r="A60" s="49"/>
      <c r="C60" s="51"/>
      <c r="D60" s="191">
        <v>12801212</v>
      </c>
      <c r="E60" s="192" t="s">
        <v>210</v>
      </c>
      <c r="F60" s="193" t="s">
        <v>258</v>
      </c>
      <c r="G60" s="194" t="s">
        <v>212</v>
      </c>
      <c r="H60" s="195" t="s">
        <v>216</v>
      </c>
      <c r="I60" s="194" t="s">
        <v>28</v>
      </c>
      <c r="J60" s="196">
        <v>2.12</v>
      </c>
      <c r="K60" s="197">
        <v>57</v>
      </c>
      <c r="L60" s="198">
        <v>652</v>
      </c>
      <c r="M60" s="209">
        <v>9128</v>
      </c>
      <c r="N60" s="200">
        <v>0</v>
      </c>
      <c r="O60" s="201">
        <v>0</v>
      </c>
      <c r="P60" s="52"/>
      <c r="R60" s="53"/>
      <c r="S60" s="54"/>
    </row>
    <row r="61" spans="1:19" s="50" customFormat="1" ht="18.75" customHeight="1">
      <c r="A61" s="49"/>
      <c r="C61" s="51"/>
      <c r="D61" s="731" t="s">
        <v>259</v>
      </c>
      <c r="E61" s="731"/>
      <c r="F61" s="731"/>
      <c r="G61" s="215"/>
      <c r="H61" s="215"/>
      <c r="I61" s="215"/>
      <c r="J61" s="222"/>
      <c r="K61" s="223"/>
      <c r="L61" s="223"/>
      <c r="M61" s="209"/>
      <c r="N61" s="230"/>
      <c r="O61" s="231"/>
      <c r="P61" s="52"/>
      <c r="R61" s="53"/>
      <c r="S61" s="54"/>
    </row>
    <row r="62" spans="1:19" s="50" customFormat="1" ht="13.5" customHeight="1" hidden="1">
      <c r="A62" s="49"/>
      <c r="C62" s="51"/>
      <c r="D62" s="211">
        <v>12452110</v>
      </c>
      <c r="E62" s="192" t="s">
        <v>210</v>
      </c>
      <c r="F62" s="232" t="s">
        <v>260</v>
      </c>
      <c r="G62" s="194" t="s">
        <v>212</v>
      </c>
      <c r="H62" s="195" t="s">
        <v>261</v>
      </c>
      <c r="I62" s="194" t="s">
        <v>28</v>
      </c>
      <c r="J62" s="222">
        <v>2.15</v>
      </c>
      <c r="K62" s="223">
        <v>57</v>
      </c>
      <c r="L62" s="223">
        <v>612</v>
      </c>
      <c r="M62" s="209">
        <v>9180</v>
      </c>
      <c r="N62" s="200">
        <v>0</v>
      </c>
      <c r="O62" s="201">
        <v>0</v>
      </c>
      <c r="P62" s="52"/>
      <c r="R62" s="53"/>
      <c r="S62" s="54"/>
    </row>
    <row r="63" spans="1:19" s="50" customFormat="1" ht="13.5" customHeight="1" hidden="1">
      <c r="A63" s="49"/>
      <c r="C63" s="51"/>
      <c r="D63" s="211">
        <v>12454110</v>
      </c>
      <c r="E63" s="192" t="s">
        <v>210</v>
      </c>
      <c r="F63" s="233" t="s">
        <v>262</v>
      </c>
      <c r="G63" s="205" t="s">
        <v>212</v>
      </c>
      <c r="H63" s="195" t="s">
        <v>261</v>
      </c>
      <c r="I63" s="205" t="s">
        <v>28</v>
      </c>
      <c r="J63" s="222">
        <v>2.15</v>
      </c>
      <c r="K63" s="223">
        <v>57</v>
      </c>
      <c r="L63" s="223">
        <v>612</v>
      </c>
      <c r="M63" s="209">
        <v>9180</v>
      </c>
      <c r="N63" s="200">
        <v>0</v>
      </c>
      <c r="O63" s="201">
        <v>0</v>
      </c>
      <c r="P63" s="52"/>
      <c r="R63" s="53"/>
      <c r="S63" s="54"/>
    </row>
    <row r="64" spans="1:19" s="50" customFormat="1" ht="13.5" customHeight="1">
      <c r="A64" s="49"/>
      <c r="C64" s="51"/>
      <c r="D64" s="191">
        <v>12453230</v>
      </c>
      <c r="E64" s="192" t="s">
        <v>210</v>
      </c>
      <c r="F64" s="193" t="s">
        <v>263</v>
      </c>
      <c r="G64" s="194" t="s">
        <v>212</v>
      </c>
      <c r="H64" s="195" t="s">
        <v>213</v>
      </c>
      <c r="I64" s="194" t="s">
        <v>28</v>
      </c>
      <c r="J64" s="196">
        <v>1.65</v>
      </c>
      <c r="K64" s="197">
        <v>57</v>
      </c>
      <c r="L64" s="198">
        <v>904</v>
      </c>
      <c r="M64" s="199">
        <v>12656</v>
      </c>
      <c r="N64" s="200">
        <v>49.664472</v>
      </c>
      <c r="O64" s="201">
        <v>2830.8749040000002</v>
      </c>
      <c r="P64" s="52"/>
      <c r="R64" s="53"/>
      <c r="S64" s="54"/>
    </row>
    <row r="65" spans="1:19" s="50" customFormat="1" ht="13.5" customHeight="1">
      <c r="A65" s="49"/>
      <c r="C65" s="51"/>
      <c r="D65" s="191">
        <v>12453130</v>
      </c>
      <c r="E65" s="192" t="s">
        <v>210</v>
      </c>
      <c r="F65" s="193" t="s">
        <v>217</v>
      </c>
      <c r="G65" s="194" t="s">
        <v>212</v>
      </c>
      <c r="H65" s="195" t="s">
        <v>213</v>
      </c>
      <c r="I65" s="194" t="s">
        <v>28</v>
      </c>
      <c r="J65" s="196">
        <v>1.65</v>
      </c>
      <c r="K65" s="197">
        <v>57</v>
      </c>
      <c r="L65" s="198">
        <v>904</v>
      </c>
      <c r="M65" s="199">
        <v>12656</v>
      </c>
      <c r="N65" s="200">
        <v>51.921948</v>
      </c>
      <c r="O65" s="201">
        <v>2959.551036</v>
      </c>
      <c r="P65" s="52"/>
      <c r="R65" s="53"/>
      <c r="S65" s="54"/>
    </row>
    <row r="66" spans="1:19" s="50" customFormat="1" ht="13.5" customHeight="1">
      <c r="A66" s="49"/>
      <c r="C66" s="51"/>
      <c r="D66" s="191">
        <v>12453530</v>
      </c>
      <c r="E66" s="192" t="s">
        <v>210</v>
      </c>
      <c r="F66" s="193" t="s">
        <v>264</v>
      </c>
      <c r="G66" s="194" t="s">
        <v>212</v>
      </c>
      <c r="H66" s="195" t="s">
        <v>213</v>
      </c>
      <c r="I66" s="194" t="s">
        <v>28</v>
      </c>
      <c r="J66" s="196">
        <v>1.65</v>
      </c>
      <c r="K66" s="197">
        <v>57</v>
      </c>
      <c r="L66" s="198">
        <v>904</v>
      </c>
      <c r="M66" s="199">
        <v>12656</v>
      </c>
      <c r="N66" s="200">
        <v>49.664472</v>
      </c>
      <c r="O66" s="201">
        <v>2830.8749040000002</v>
      </c>
      <c r="P66" s="52"/>
      <c r="R66" s="53"/>
      <c r="S66" s="54"/>
    </row>
    <row r="67" spans="1:19" s="50" customFormat="1" ht="13.5" customHeight="1">
      <c r="A67" s="49"/>
      <c r="C67" s="51"/>
      <c r="D67" s="191">
        <v>12453030</v>
      </c>
      <c r="E67" s="192" t="s">
        <v>210</v>
      </c>
      <c r="F67" s="193" t="s">
        <v>214</v>
      </c>
      <c r="G67" s="194" t="s">
        <v>212</v>
      </c>
      <c r="H67" s="195" t="s">
        <v>213</v>
      </c>
      <c r="I67" s="194" t="s">
        <v>28</v>
      </c>
      <c r="J67" s="196">
        <v>1.65</v>
      </c>
      <c r="K67" s="197">
        <v>57</v>
      </c>
      <c r="L67" s="198">
        <v>904</v>
      </c>
      <c r="M67" s="199">
        <v>12656</v>
      </c>
      <c r="N67" s="200">
        <v>53.426932</v>
      </c>
      <c r="O67" s="201">
        <v>3045.335124</v>
      </c>
      <c r="P67" s="52"/>
      <c r="R67" s="53"/>
      <c r="S67" s="54"/>
    </row>
    <row r="68" spans="1:19" s="50" customFormat="1" ht="13.5" customHeight="1">
      <c r="A68" s="49"/>
      <c r="C68" s="51"/>
      <c r="D68" s="191">
        <v>12453330</v>
      </c>
      <c r="E68" s="192" t="s">
        <v>210</v>
      </c>
      <c r="F68" s="193" t="s">
        <v>265</v>
      </c>
      <c r="G68" s="194" t="s">
        <v>212</v>
      </c>
      <c r="H68" s="195" t="s">
        <v>213</v>
      </c>
      <c r="I68" s="194" t="s">
        <v>28</v>
      </c>
      <c r="J68" s="196">
        <v>1.65</v>
      </c>
      <c r="K68" s="197">
        <v>57</v>
      </c>
      <c r="L68" s="198">
        <v>904</v>
      </c>
      <c r="M68" s="199">
        <v>12656</v>
      </c>
      <c r="N68" s="200">
        <v>53.426932</v>
      </c>
      <c r="O68" s="201">
        <v>3045.335124</v>
      </c>
      <c r="P68" s="52"/>
      <c r="R68" s="53"/>
      <c r="S68" s="54"/>
    </row>
    <row r="69" spans="1:19" s="50" customFormat="1" ht="13.5" customHeight="1">
      <c r="A69" s="49"/>
      <c r="C69" s="51"/>
      <c r="D69" s="191">
        <v>12452930</v>
      </c>
      <c r="E69" s="192" t="s">
        <v>210</v>
      </c>
      <c r="F69" s="193" t="s">
        <v>266</v>
      </c>
      <c r="G69" s="194" t="s">
        <v>212</v>
      </c>
      <c r="H69" s="195" t="s">
        <v>213</v>
      </c>
      <c r="I69" s="194" t="s">
        <v>28</v>
      </c>
      <c r="J69" s="196">
        <v>1.65</v>
      </c>
      <c r="K69" s="197">
        <v>57</v>
      </c>
      <c r="L69" s="198">
        <v>904</v>
      </c>
      <c r="M69" s="199">
        <v>13560</v>
      </c>
      <c r="N69" s="200">
        <v>53.426932</v>
      </c>
      <c r="O69" s="201">
        <v>3045.335124</v>
      </c>
      <c r="P69" s="52"/>
      <c r="R69" s="53"/>
      <c r="S69" s="54"/>
    </row>
    <row r="70" spans="1:19" s="50" customFormat="1" ht="13.5" customHeight="1">
      <c r="A70" s="49"/>
      <c r="C70" s="51"/>
      <c r="D70" s="191">
        <v>12450230</v>
      </c>
      <c r="E70" s="192" t="s">
        <v>210</v>
      </c>
      <c r="F70" s="193" t="s">
        <v>211</v>
      </c>
      <c r="G70" s="194" t="s">
        <v>212</v>
      </c>
      <c r="H70" s="195" t="s">
        <v>213</v>
      </c>
      <c r="I70" s="194" t="s">
        <v>28</v>
      </c>
      <c r="J70" s="196">
        <v>1.65</v>
      </c>
      <c r="K70" s="197">
        <v>57</v>
      </c>
      <c r="L70" s="198">
        <v>904</v>
      </c>
      <c r="M70" s="199">
        <v>12656</v>
      </c>
      <c r="N70" s="200">
        <v>49.664472</v>
      </c>
      <c r="O70" s="201">
        <v>2830.8749040000002</v>
      </c>
      <c r="P70" s="52"/>
      <c r="R70" s="53"/>
      <c r="S70" s="54"/>
    </row>
    <row r="71" spans="1:19" s="50" customFormat="1" ht="13.5" customHeight="1">
      <c r="A71" s="49"/>
      <c r="C71" s="51"/>
      <c r="D71" s="191">
        <v>12450030</v>
      </c>
      <c r="E71" s="192" t="s">
        <v>210</v>
      </c>
      <c r="F71" s="193" t="s">
        <v>267</v>
      </c>
      <c r="G71" s="194" t="s">
        <v>212</v>
      </c>
      <c r="H71" s="195" t="s">
        <v>213</v>
      </c>
      <c r="I71" s="194" t="s">
        <v>28</v>
      </c>
      <c r="J71" s="196">
        <v>1.65</v>
      </c>
      <c r="K71" s="197">
        <v>57</v>
      </c>
      <c r="L71" s="198">
        <v>904</v>
      </c>
      <c r="M71" s="199">
        <v>12656</v>
      </c>
      <c r="N71" s="200">
        <v>48.91198</v>
      </c>
      <c r="O71" s="201">
        <v>2787.98286</v>
      </c>
      <c r="P71" s="52"/>
      <c r="R71" s="53"/>
      <c r="S71" s="54"/>
    </row>
    <row r="72" spans="1:19" s="50" customFormat="1" ht="23.25" customHeight="1">
      <c r="A72" s="49"/>
      <c r="C72" s="51"/>
      <c r="D72" s="234">
        <v>12453930</v>
      </c>
      <c r="E72" s="192" t="s">
        <v>210</v>
      </c>
      <c r="F72" s="193" t="s">
        <v>268</v>
      </c>
      <c r="G72" s="194" t="s">
        <v>212</v>
      </c>
      <c r="H72" s="195" t="s">
        <v>213</v>
      </c>
      <c r="I72" s="194" t="s">
        <v>28</v>
      </c>
      <c r="J72" s="196">
        <v>1.65</v>
      </c>
      <c r="K72" s="197">
        <v>57</v>
      </c>
      <c r="L72" s="198">
        <v>904</v>
      </c>
      <c r="M72" s="199">
        <v>12656</v>
      </c>
      <c r="N72" s="200">
        <v>50.41696400000001</v>
      </c>
      <c r="O72" s="201">
        <v>2873.7669480000004</v>
      </c>
      <c r="P72" s="52"/>
      <c r="R72" s="53"/>
      <c r="S72" s="54"/>
    </row>
    <row r="73" spans="1:19" s="50" customFormat="1" ht="13.5" customHeight="1">
      <c r="A73" s="49"/>
      <c r="C73" s="51"/>
      <c r="D73" s="191">
        <v>12454230</v>
      </c>
      <c r="E73" s="192" t="s">
        <v>210</v>
      </c>
      <c r="F73" s="193" t="s">
        <v>269</v>
      </c>
      <c r="G73" s="194" t="s">
        <v>212</v>
      </c>
      <c r="H73" s="195" t="s">
        <v>213</v>
      </c>
      <c r="I73" s="194" t="s">
        <v>28</v>
      </c>
      <c r="J73" s="196">
        <v>1.65</v>
      </c>
      <c r="K73" s="197">
        <v>57</v>
      </c>
      <c r="L73" s="198">
        <v>904</v>
      </c>
      <c r="M73" s="199">
        <v>12656</v>
      </c>
      <c r="N73" s="200">
        <v>48.91198</v>
      </c>
      <c r="O73" s="201">
        <v>2787.98286</v>
      </c>
      <c r="P73" s="52"/>
      <c r="R73" s="53"/>
      <c r="S73" s="54"/>
    </row>
    <row r="74" spans="1:19" s="50" customFormat="1" ht="18.75" customHeight="1">
      <c r="A74" s="49"/>
      <c r="C74" s="51"/>
      <c r="D74" s="731" t="s">
        <v>270</v>
      </c>
      <c r="E74" s="731"/>
      <c r="F74" s="731"/>
      <c r="G74" s="215"/>
      <c r="H74" s="215"/>
      <c r="I74" s="215"/>
      <c r="J74" s="222"/>
      <c r="K74" s="223"/>
      <c r="L74" s="223"/>
      <c r="M74" s="209"/>
      <c r="N74" s="226"/>
      <c r="O74" s="210"/>
      <c r="P74" s="52"/>
      <c r="R74" s="53"/>
      <c r="S74" s="54"/>
    </row>
    <row r="75" spans="1:19" s="237" customFormat="1" ht="13.5" customHeight="1">
      <c r="A75" s="49"/>
      <c r="B75" s="50"/>
      <c r="C75" s="235"/>
      <c r="D75" s="211">
        <v>12700012</v>
      </c>
      <c r="E75" s="192" t="s">
        <v>210</v>
      </c>
      <c r="F75" s="232" t="s">
        <v>271</v>
      </c>
      <c r="G75" s="194" t="s">
        <v>212</v>
      </c>
      <c r="H75" s="195" t="s">
        <v>216</v>
      </c>
      <c r="I75" s="194" t="s">
        <v>28</v>
      </c>
      <c r="J75" s="222">
        <v>2.37</v>
      </c>
      <c r="K75" s="223">
        <v>57</v>
      </c>
      <c r="L75" s="223">
        <v>680</v>
      </c>
      <c r="M75" s="209">
        <v>8160</v>
      </c>
      <c r="N75" s="210">
        <v>79.76415200000001</v>
      </c>
      <c r="O75" s="210">
        <v>4546.556664000001</v>
      </c>
      <c r="P75" s="236"/>
      <c r="R75" s="53"/>
      <c r="S75" s="54"/>
    </row>
    <row r="76" spans="1:19" s="237" customFormat="1" ht="13.5" customHeight="1">
      <c r="A76" s="49"/>
      <c r="B76" s="50"/>
      <c r="C76" s="235"/>
      <c r="D76" s="211">
        <v>12703212</v>
      </c>
      <c r="E76" s="192" t="s">
        <v>210</v>
      </c>
      <c r="F76" s="233" t="s">
        <v>272</v>
      </c>
      <c r="G76" s="205" t="s">
        <v>212</v>
      </c>
      <c r="H76" s="229" t="s">
        <v>216</v>
      </c>
      <c r="I76" s="205" t="s">
        <v>28</v>
      </c>
      <c r="J76" s="222">
        <v>2.37</v>
      </c>
      <c r="K76" s="223">
        <v>57</v>
      </c>
      <c r="L76" s="223">
        <v>680</v>
      </c>
      <c r="M76" s="209">
        <v>8160</v>
      </c>
      <c r="N76" s="210">
        <v>83.52661200000001</v>
      </c>
      <c r="O76" s="210">
        <v>4761.016884000001</v>
      </c>
      <c r="P76" s="236"/>
      <c r="R76" s="53"/>
      <c r="S76" s="54"/>
    </row>
    <row r="77" spans="1:19" s="50" customFormat="1" ht="13.5" customHeight="1">
      <c r="A77" s="49"/>
      <c r="C77" s="51"/>
      <c r="D77" s="211">
        <v>12702212</v>
      </c>
      <c r="E77" s="192" t="s">
        <v>210</v>
      </c>
      <c r="F77" s="193" t="s">
        <v>219</v>
      </c>
      <c r="G77" s="194" t="s">
        <v>212</v>
      </c>
      <c r="H77" s="195" t="s">
        <v>216</v>
      </c>
      <c r="I77" s="194" t="s">
        <v>28</v>
      </c>
      <c r="J77" s="213">
        <v>2.33</v>
      </c>
      <c r="K77" s="198">
        <v>57</v>
      </c>
      <c r="L77" s="198">
        <v>680</v>
      </c>
      <c r="M77" s="209">
        <v>8160</v>
      </c>
      <c r="N77" s="238">
        <v>76.75418400000001</v>
      </c>
      <c r="O77" s="239">
        <v>4374.988488000001</v>
      </c>
      <c r="P77" s="52"/>
      <c r="R77" s="53"/>
      <c r="S77" s="54"/>
    </row>
    <row r="78" spans="1:19" s="50" customFormat="1" ht="5.25" customHeight="1" thickBot="1">
      <c r="A78" s="49"/>
      <c r="C78" s="110"/>
      <c r="D78" s="147"/>
      <c r="E78" s="147"/>
      <c r="F78" s="146"/>
      <c r="G78" s="240"/>
      <c r="H78" s="147"/>
      <c r="I78" s="148"/>
      <c r="J78" s="149"/>
      <c r="K78" s="148"/>
      <c r="L78" s="148"/>
      <c r="M78" s="148"/>
      <c r="N78" s="117"/>
      <c r="O78" s="117"/>
      <c r="P78" s="118"/>
      <c r="R78" s="53"/>
      <c r="S78" s="54"/>
    </row>
    <row r="79" spans="1:18" s="250" customFormat="1" ht="18.75" customHeight="1" thickTop="1">
      <c r="A79" s="241"/>
      <c r="B79" s="242"/>
      <c r="C79" s="243"/>
      <c r="D79" s="244" t="s">
        <v>273</v>
      </c>
      <c r="E79" s="245"/>
      <c r="F79" s="246"/>
      <c r="G79" s="245"/>
      <c r="H79" s="247"/>
      <c r="I79" s="247"/>
      <c r="J79" s="247"/>
      <c r="K79" s="247"/>
      <c r="L79" s="243"/>
      <c r="M79" s="243"/>
      <c r="N79" s="243"/>
      <c r="O79" s="243"/>
      <c r="P79" s="242"/>
      <c r="Q79" s="248"/>
      <c r="R79" s="249"/>
    </row>
    <row r="80" spans="1:18" s="251" customFormat="1" ht="43.5" customHeight="1">
      <c r="A80" s="241"/>
      <c r="C80" s="732" t="s">
        <v>274</v>
      </c>
      <c r="D80" s="732"/>
      <c r="E80" s="732"/>
      <c r="F80" s="732"/>
      <c r="G80" s="732"/>
      <c r="H80" s="732"/>
      <c r="I80" s="732"/>
      <c r="J80" s="732"/>
      <c r="K80" s="732"/>
      <c r="L80" s="732"/>
      <c r="M80" s="732"/>
      <c r="N80" s="253"/>
      <c r="O80" s="253"/>
      <c r="Q80" s="248"/>
      <c r="R80" s="249"/>
    </row>
    <row r="81" spans="1:19" s="254" customFormat="1" ht="15.75" customHeight="1" hidden="1">
      <c r="A81" s="241"/>
      <c r="C81" s="733" t="s">
        <v>275</v>
      </c>
      <c r="D81" s="733"/>
      <c r="E81" s="733"/>
      <c r="F81" s="733"/>
      <c r="G81" s="733"/>
      <c r="H81" s="733"/>
      <c r="I81" s="733"/>
      <c r="J81" s="733"/>
      <c r="K81" s="733"/>
      <c r="L81" s="733"/>
      <c r="M81" s="733"/>
      <c r="N81" s="733"/>
      <c r="O81" s="733"/>
      <c r="P81" s="733"/>
      <c r="Q81" s="255"/>
      <c r="R81" s="256"/>
      <c r="S81" s="257"/>
    </row>
    <row r="82" spans="1:256" s="134" customFormat="1" ht="25.5">
      <c r="A82" s="133"/>
      <c r="C82" s="695" t="s">
        <v>179</v>
      </c>
      <c r="D82" s="695"/>
      <c r="E82" s="695"/>
      <c r="F82" s="695"/>
      <c r="G82" s="695"/>
      <c r="H82" s="695"/>
      <c r="I82" s="695"/>
      <c r="J82" s="695"/>
      <c r="K82" s="695"/>
      <c r="L82" s="695"/>
      <c r="M82" s="695"/>
      <c r="N82" s="695"/>
      <c r="O82" s="695"/>
      <c r="P82" s="695"/>
      <c r="Q82" s="50"/>
      <c r="R82" s="53"/>
      <c r="S82" s="54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  <c r="HQ82" s="50"/>
      <c r="HR82" s="50"/>
      <c r="HS82" s="50"/>
      <c r="HT82" s="50"/>
      <c r="HU82" s="50"/>
      <c r="HV82" s="50"/>
      <c r="HW82" s="50"/>
      <c r="HX82" s="50"/>
      <c r="HY82" s="50"/>
      <c r="HZ82" s="50"/>
      <c r="IA82" s="50"/>
      <c r="IB82" s="50"/>
      <c r="IC82" s="50"/>
      <c r="ID82" s="50"/>
      <c r="IE82" s="50"/>
      <c r="IF82" s="50"/>
      <c r="IG82" s="50"/>
      <c r="IH82" s="50"/>
      <c r="II82" s="50"/>
      <c r="IJ82" s="50"/>
      <c r="IK82" s="50"/>
      <c r="IL82" s="50"/>
      <c r="IM82" s="50"/>
      <c r="IN82" s="50"/>
      <c r="IO82" s="50"/>
      <c r="IP82" s="50"/>
      <c r="IQ82" s="50"/>
      <c r="IR82" s="50"/>
      <c r="IS82" s="50"/>
      <c r="IT82" s="50"/>
      <c r="IU82" s="50"/>
      <c r="IV82" s="50"/>
    </row>
    <row r="83" spans="1:256" ht="15" customHeight="1" thickBot="1">
      <c r="A83" s="1"/>
      <c r="C83" s="136"/>
      <c r="D83" s="137"/>
      <c r="E83" s="138"/>
      <c r="F83" s="671" t="s">
        <v>2</v>
      </c>
      <c r="G83" s="671"/>
      <c r="H83" s="671"/>
      <c r="I83" s="671"/>
      <c r="J83" s="671"/>
      <c r="K83" s="671"/>
      <c r="L83" s="671"/>
      <c r="M83" s="671"/>
      <c r="N83" s="671"/>
      <c r="O83" s="671"/>
      <c r="P83" s="119"/>
      <c r="Q83" s="50"/>
      <c r="R83" s="53"/>
      <c r="S83" s="54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50"/>
      <c r="FT83" s="50"/>
      <c r="FU83" s="50"/>
      <c r="FV83" s="50"/>
      <c r="FW83" s="50"/>
      <c r="FX83" s="50"/>
      <c r="FY83" s="50"/>
      <c r="FZ83" s="50"/>
      <c r="GA83" s="50"/>
      <c r="GB83" s="50"/>
      <c r="GC83" s="50"/>
      <c r="GD83" s="50"/>
      <c r="GE83" s="50"/>
      <c r="GF83" s="50"/>
      <c r="GG83" s="50"/>
      <c r="GH83" s="50"/>
      <c r="GI83" s="50"/>
      <c r="GJ83" s="50"/>
      <c r="GK83" s="50"/>
      <c r="GL83" s="50"/>
      <c r="GM83" s="50"/>
      <c r="GN83" s="50"/>
      <c r="GO83" s="50"/>
      <c r="GP83" s="50"/>
      <c r="GQ83" s="50"/>
      <c r="GR83" s="50"/>
      <c r="GS83" s="50"/>
      <c r="GT83" s="50"/>
      <c r="GU83" s="50"/>
      <c r="GV83" s="50"/>
      <c r="GW83" s="50"/>
      <c r="GX83" s="50"/>
      <c r="GY83" s="50"/>
      <c r="GZ83" s="50"/>
      <c r="HA83" s="50"/>
      <c r="HB83" s="50"/>
      <c r="HC83" s="50"/>
      <c r="HD83" s="50"/>
      <c r="HE83" s="50"/>
      <c r="HF83" s="50"/>
      <c r="HG83" s="50"/>
      <c r="HH83" s="50"/>
      <c r="HI83" s="50"/>
      <c r="HJ83" s="50"/>
      <c r="HK83" s="50"/>
      <c r="HL83" s="50"/>
      <c r="HM83" s="50"/>
      <c r="HN83" s="50"/>
      <c r="HO83" s="50"/>
      <c r="HP83" s="50"/>
      <c r="HQ83" s="50"/>
      <c r="HR83" s="50"/>
      <c r="HS83" s="50"/>
      <c r="HT83" s="50"/>
      <c r="HU83" s="50"/>
      <c r="HV83" s="50"/>
      <c r="HW83" s="50"/>
      <c r="HX83" s="50"/>
      <c r="HY83" s="50"/>
      <c r="HZ83" s="50"/>
      <c r="IA83" s="50"/>
      <c r="IB83" s="50"/>
      <c r="IC83" s="50"/>
      <c r="ID83" s="50"/>
      <c r="IE83" s="50"/>
      <c r="IF83" s="50"/>
      <c r="IG83" s="50"/>
      <c r="IH83" s="50"/>
      <c r="II83" s="50"/>
      <c r="IJ83" s="50"/>
      <c r="IK83" s="50"/>
      <c r="IL83" s="50"/>
      <c r="IM83" s="50"/>
      <c r="IN83" s="50"/>
      <c r="IO83" s="50"/>
      <c r="IP83" s="50"/>
      <c r="IQ83" s="50"/>
      <c r="IR83" s="50"/>
      <c r="IS83" s="50"/>
      <c r="IT83" s="50"/>
      <c r="IU83" s="50"/>
      <c r="IV83" s="50"/>
    </row>
    <row r="84" spans="1:256" ht="7.5" customHeight="1" thickTop="1">
      <c r="A84" s="1"/>
      <c r="C84" s="19"/>
      <c r="D84" s="141"/>
      <c r="E84" s="142"/>
      <c r="F84" s="23"/>
      <c r="G84" s="23"/>
      <c r="H84" s="23"/>
      <c r="I84" s="23"/>
      <c r="J84" s="23"/>
      <c r="K84" s="23"/>
      <c r="L84" s="26"/>
      <c r="M84" s="26"/>
      <c r="N84" s="258"/>
      <c r="O84" s="258"/>
      <c r="P84" s="259"/>
      <c r="Q84" s="50"/>
      <c r="R84" s="53"/>
      <c r="S84" s="54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  <c r="FH84" s="50"/>
      <c r="FI84" s="50"/>
      <c r="FJ84" s="50"/>
      <c r="FK84" s="50"/>
      <c r="FL84" s="50"/>
      <c r="FM84" s="50"/>
      <c r="FN84" s="50"/>
      <c r="FO84" s="50"/>
      <c r="FP84" s="50"/>
      <c r="FQ84" s="50"/>
      <c r="FR84" s="50"/>
      <c r="FS84" s="50"/>
      <c r="FT84" s="50"/>
      <c r="FU84" s="50"/>
      <c r="FV84" s="50"/>
      <c r="FW84" s="50"/>
      <c r="FX84" s="50"/>
      <c r="FY84" s="50"/>
      <c r="FZ84" s="50"/>
      <c r="GA84" s="50"/>
      <c r="GB84" s="50"/>
      <c r="GC84" s="50"/>
      <c r="GD84" s="50"/>
      <c r="GE84" s="50"/>
      <c r="GF84" s="50"/>
      <c r="GG84" s="50"/>
      <c r="GH84" s="50"/>
      <c r="GI84" s="50"/>
      <c r="GJ84" s="50"/>
      <c r="GK84" s="50"/>
      <c r="GL84" s="50"/>
      <c r="GM84" s="50"/>
      <c r="GN84" s="50"/>
      <c r="GO84" s="50"/>
      <c r="GP84" s="50"/>
      <c r="GQ84" s="50"/>
      <c r="GR84" s="50"/>
      <c r="GS84" s="50"/>
      <c r="GT84" s="50"/>
      <c r="GU84" s="50"/>
      <c r="GV84" s="50"/>
      <c r="GW84" s="50"/>
      <c r="GX84" s="50"/>
      <c r="GY84" s="50"/>
      <c r="GZ84" s="50"/>
      <c r="HA84" s="50"/>
      <c r="HB84" s="50"/>
      <c r="HC84" s="50"/>
      <c r="HD84" s="50"/>
      <c r="HE84" s="50"/>
      <c r="HF84" s="50"/>
      <c r="HG84" s="50"/>
      <c r="HH84" s="50"/>
      <c r="HI84" s="50"/>
      <c r="HJ84" s="50"/>
      <c r="HK84" s="50"/>
      <c r="HL84" s="50"/>
      <c r="HM84" s="50"/>
      <c r="HN84" s="50"/>
      <c r="HO84" s="50"/>
      <c r="HP84" s="50"/>
      <c r="HQ84" s="50"/>
      <c r="HR84" s="50"/>
      <c r="HS84" s="50"/>
      <c r="HT84" s="50"/>
      <c r="HU84" s="50"/>
      <c r="HV84" s="50"/>
      <c r="HW84" s="50"/>
      <c r="HX84" s="50"/>
      <c r="HY84" s="50"/>
      <c r="HZ84" s="50"/>
      <c r="IA84" s="50"/>
      <c r="IB84" s="50"/>
      <c r="IC84" s="50"/>
      <c r="ID84" s="50"/>
      <c r="IE84" s="50"/>
      <c r="IF84" s="50"/>
      <c r="IG84" s="50"/>
      <c r="IH84" s="50"/>
      <c r="II84" s="50"/>
      <c r="IJ84" s="50"/>
      <c r="IK84" s="50"/>
      <c r="IL84" s="50"/>
      <c r="IM84" s="50"/>
      <c r="IN84" s="50"/>
      <c r="IO84" s="50"/>
      <c r="IP84" s="50"/>
      <c r="IQ84" s="50"/>
      <c r="IR84" s="50"/>
      <c r="IS84" s="50"/>
      <c r="IT84" s="50"/>
      <c r="IU84" s="50"/>
      <c r="IV84" s="50"/>
    </row>
    <row r="85" spans="1:19" s="50" customFormat="1" ht="29.25" customHeight="1" thickBot="1">
      <c r="A85" s="49"/>
      <c r="B85" s="52"/>
      <c r="C85" s="143"/>
      <c r="D85" s="696" t="s">
        <v>180</v>
      </c>
      <c r="E85" s="696"/>
      <c r="F85" s="696"/>
      <c r="G85" s="696"/>
      <c r="H85" s="696"/>
      <c r="I85" s="697"/>
      <c r="J85" s="698" t="s">
        <v>181</v>
      </c>
      <c r="K85" s="696"/>
      <c r="L85" s="696"/>
      <c r="M85" s="697"/>
      <c r="N85" s="698" t="s">
        <v>182</v>
      </c>
      <c r="O85" s="696"/>
      <c r="P85" s="144"/>
      <c r="Q85" s="260"/>
      <c r="R85" s="53"/>
      <c r="S85" s="54"/>
    </row>
    <row r="86" spans="1:19" s="50" customFormat="1" ht="15" customHeight="1" thickTop="1">
      <c r="A86" s="49"/>
      <c r="C86" s="143"/>
      <c r="D86" s="699" t="s">
        <v>276</v>
      </c>
      <c r="E86" s="699"/>
      <c r="F86" s="699"/>
      <c r="G86" s="699"/>
      <c r="H86" s="699"/>
      <c r="I86" s="700"/>
      <c r="J86" s="701" t="s">
        <v>184</v>
      </c>
      <c r="K86" s="734"/>
      <c r="L86" s="734"/>
      <c r="M86" s="702"/>
      <c r="N86" s="703">
        <v>588</v>
      </c>
      <c r="O86" s="704"/>
      <c r="P86" s="144"/>
      <c r="Q86" s="261"/>
      <c r="R86" s="53"/>
      <c r="S86" s="54"/>
    </row>
    <row r="87" spans="1:19" s="50" customFormat="1" ht="15" customHeight="1">
      <c r="A87" s="49"/>
      <c r="C87" s="143"/>
      <c r="D87" s="705" t="s">
        <v>185</v>
      </c>
      <c r="E87" s="705"/>
      <c r="F87" s="705"/>
      <c r="G87" s="705"/>
      <c r="H87" s="705"/>
      <c r="I87" s="706"/>
      <c r="J87" s="707" t="s">
        <v>186</v>
      </c>
      <c r="K87" s="735"/>
      <c r="L87" s="735"/>
      <c r="M87" s="708"/>
      <c r="N87" s="709">
        <v>1830</v>
      </c>
      <c r="O87" s="710"/>
      <c r="P87" s="144"/>
      <c r="Q87" s="261"/>
      <c r="R87" s="53"/>
      <c r="S87" s="54"/>
    </row>
    <row r="88" spans="1:19" s="50" customFormat="1" ht="15" customHeight="1">
      <c r="A88" s="49"/>
      <c r="C88" s="143"/>
      <c r="D88" s="705" t="s">
        <v>187</v>
      </c>
      <c r="E88" s="705"/>
      <c r="F88" s="705"/>
      <c r="G88" s="705"/>
      <c r="H88" s="705"/>
      <c r="I88" s="706"/>
      <c r="J88" s="707" t="s">
        <v>188</v>
      </c>
      <c r="K88" s="735"/>
      <c r="L88" s="735"/>
      <c r="M88" s="708"/>
      <c r="N88" s="709">
        <v>18.48</v>
      </c>
      <c r="O88" s="710"/>
      <c r="P88" s="145"/>
      <c r="Q88" s="261"/>
      <c r="R88" s="53"/>
      <c r="S88" s="54"/>
    </row>
    <row r="89" spans="1:19" s="50" customFormat="1" ht="15" customHeight="1">
      <c r="A89" s="49"/>
      <c r="C89" s="143"/>
      <c r="D89" s="705" t="s">
        <v>189</v>
      </c>
      <c r="E89" s="705"/>
      <c r="F89" s="705"/>
      <c r="G89" s="705"/>
      <c r="H89" s="705"/>
      <c r="I89" s="706"/>
      <c r="J89" s="712" t="s">
        <v>190</v>
      </c>
      <c r="K89" s="738"/>
      <c r="L89" s="738"/>
      <c r="M89" s="713"/>
      <c r="N89" s="709">
        <v>76.5</v>
      </c>
      <c r="O89" s="710"/>
      <c r="P89" s="145"/>
      <c r="Q89" s="261"/>
      <c r="R89" s="53"/>
      <c r="S89" s="54"/>
    </row>
    <row r="90" spans="1:19" s="50" customFormat="1" ht="15" customHeight="1">
      <c r="A90" s="49"/>
      <c r="C90" s="143"/>
      <c r="D90" s="714" t="s">
        <v>191</v>
      </c>
      <c r="E90" s="714"/>
      <c r="F90" s="714"/>
      <c r="G90" s="714"/>
      <c r="H90" s="714"/>
      <c r="I90" s="715"/>
      <c r="J90" s="716" t="s">
        <v>192</v>
      </c>
      <c r="K90" s="736"/>
      <c r="L90" s="736"/>
      <c r="M90" s="717"/>
      <c r="N90" s="709">
        <v>770.1</v>
      </c>
      <c r="O90" s="710"/>
      <c r="P90" s="145"/>
      <c r="Q90" s="261"/>
      <c r="R90" s="53"/>
      <c r="S90" s="54"/>
    </row>
    <row r="91" spans="1:19" s="50" customFormat="1" ht="5.25" customHeight="1" thickBot="1">
      <c r="A91" s="49"/>
      <c r="C91" s="110"/>
      <c r="D91" s="262"/>
      <c r="E91" s="263"/>
      <c r="F91" s="114"/>
      <c r="G91" s="114"/>
      <c r="H91" s="115"/>
      <c r="I91" s="114"/>
      <c r="J91" s="114"/>
      <c r="K91" s="114"/>
      <c r="L91" s="117"/>
      <c r="M91" s="117"/>
      <c r="N91" s="117"/>
      <c r="O91" s="117"/>
      <c r="P91" s="118"/>
      <c r="R91" s="53"/>
      <c r="S91" s="54"/>
    </row>
    <row r="92" spans="1:19" s="50" customFormat="1" ht="20.25" customHeight="1" hidden="1" thickTop="1">
      <c r="A92" s="49"/>
      <c r="C92" s="264" t="s">
        <v>193</v>
      </c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155"/>
      <c r="R92" s="156"/>
      <c r="S92" s="54"/>
    </row>
    <row r="93" spans="1:19" s="50" customFormat="1" ht="12.75" customHeight="1" hidden="1">
      <c r="A93" s="49"/>
      <c r="C93" s="266" t="s">
        <v>194</v>
      </c>
      <c r="D93" s="267"/>
      <c r="E93" s="267"/>
      <c r="F93" s="267"/>
      <c r="G93" s="267"/>
      <c r="H93" s="267"/>
      <c r="I93" s="267"/>
      <c r="J93" s="267"/>
      <c r="K93" s="267"/>
      <c r="L93" s="267"/>
      <c r="M93" s="267"/>
      <c r="N93" s="267"/>
      <c r="O93" s="267"/>
      <c r="P93" s="267"/>
      <c r="Q93" s="155"/>
      <c r="R93" s="156"/>
      <c r="S93" s="54"/>
    </row>
    <row r="94" spans="1:19" s="50" customFormat="1" ht="12.75" customHeight="1" hidden="1">
      <c r="A94" s="49"/>
      <c r="C94" s="266" t="s">
        <v>195</v>
      </c>
      <c r="D94" s="267"/>
      <c r="E94" s="267"/>
      <c r="F94" s="267"/>
      <c r="G94" s="267"/>
      <c r="H94" s="267"/>
      <c r="I94" s="267"/>
      <c r="J94" s="267"/>
      <c r="K94" s="267"/>
      <c r="L94" s="267"/>
      <c r="M94" s="267"/>
      <c r="N94" s="267"/>
      <c r="O94" s="267"/>
      <c r="P94" s="267"/>
      <c r="Q94" s="155"/>
      <c r="R94" s="156"/>
      <c r="S94" s="54"/>
    </row>
    <row r="95" spans="1:19" s="50" customFormat="1" ht="12.75" customHeight="1" hidden="1">
      <c r="A95" s="49"/>
      <c r="C95" s="266" t="s">
        <v>196</v>
      </c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5"/>
      <c r="P95" s="265"/>
      <c r="Q95" s="268"/>
      <c r="R95" s="156"/>
      <c r="S95" s="54"/>
    </row>
    <row r="96" spans="1:19" s="50" customFormat="1" ht="12.75" customHeight="1" hidden="1">
      <c r="A96" s="49"/>
      <c r="C96" s="266" t="s">
        <v>197</v>
      </c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155"/>
      <c r="R96" s="156"/>
      <c r="S96" s="54"/>
    </row>
    <row r="97" spans="1:19" s="50" customFormat="1" ht="12.75" customHeight="1" hidden="1">
      <c r="A97" s="49"/>
      <c r="C97" s="269" t="s">
        <v>198</v>
      </c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5"/>
      <c r="P97" s="265"/>
      <c r="Q97" s="155"/>
      <c r="R97" s="156"/>
      <c r="S97" s="54"/>
    </row>
    <row r="98" spans="1:19" s="50" customFormat="1" ht="5.25" customHeight="1" hidden="1">
      <c r="A98" s="49"/>
      <c r="C98" s="270"/>
      <c r="D98" s="183"/>
      <c r="E98" s="271"/>
      <c r="F98" s="159"/>
      <c r="G98" s="271"/>
      <c r="H98" s="271"/>
      <c r="I98" s="159"/>
      <c r="J98" s="159"/>
      <c r="K98" s="159"/>
      <c r="L98" s="159"/>
      <c r="M98" s="159"/>
      <c r="N98" s="159"/>
      <c r="O98" s="159"/>
      <c r="R98" s="53"/>
      <c r="S98" s="54"/>
    </row>
    <row r="99" spans="1:19" s="50" customFormat="1" ht="26.25" customHeight="1" thickTop="1">
      <c r="A99" s="49"/>
      <c r="C99" s="737" t="s">
        <v>199</v>
      </c>
      <c r="D99" s="737"/>
      <c r="E99" s="737"/>
      <c r="F99" s="737"/>
      <c r="G99" s="737"/>
      <c r="H99" s="737"/>
      <c r="I99" s="737"/>
      <c r="J99" s="737"/>
      <c r="K99" s="737"/>
      <c r="L99" s="737"/>
      <c r="M99" s="737"/>
      <c r="N99" s="737"/>
      <c r="O99" s="737"/>
      <c r="P99" s="737"/>
      <c r="R99" s="53"/>
      <c r="S99" s="54"/>
    </row>
    <row r="100" spans="1:19" s="50" customFormat="1" ht="12.75" customHeight="1" hidden="1">
      <c r="A100" s="49"/>
      <c r="C100" s="270" t="s">
        <v>200</v>
      </c>
      <c r="D100" s="183"/>
      <c r="E100" s="271"/>
      <c r="F100" s="159"/>
      <c r="G100" s="271"/>
      <c r="H100" s="271"/>
      <c r="I100" s="159"/>
      <c r="J100" s="159"/>
      <c r="K100" s="159"/>
      <c r="L100" s="159"/>
      <c r="M100" s="159"/>
      <c r="N100" s="159"/>
      <c r="O100" s="159"/>
      <c r="R100" s="53"/>
      <c r="S100" s="54"/>
    </row>
    <row r="101" spans="1:19" s="50" customFormat="1" ht="9" customHeight="1">
      <c r="A101" s="49"/>
      <c r="D101" s="272"/>
      <c r="E101" s="272"/>
      <c r="F101" s="273"/>
      <c r="G101" s="274"/>
      <c r="H101" s="272"/>
      <c r="I101" s="165"/>
      <c r="J101" s="165"/>
      <c r="K101" s="165"/>
      <c r="L101" s="165"/>
      <c r="M101" s="165"/>
      <c r="R101" s="53"/>
      <c r="S101" s="54"/>
    </row>
    <row r="102" spans="1:19" s="50" customFormat="1" ht="10.5" customHeight="1">
      <c r="A102" s="49"/>
      <c r="B102" s="49"/>
      <c r="C102" s="53"/>
      <c r="D102" s="275"/>
      <c r="E102" s="275"/>
      <c r="F102" s="276"/>
      <c r="G102" s="277"/>
      <c r="H102" s="275"/>
      <c r="I102" s="166"/>
      <c r="J102" s="166"/>
      <c r="K102" s="166"/>
      <c r="L102" s="166"/>
      <c r="M102" s="166"/>
      <c r="N102" s="53"/>
      <c r="O102" s="53"/>
      <c r="P102" s="53"/>
      <c r="Q102" s="53"/>
      <c r="R102" s="53"/>
      <c r="S102" s="54"/>
    </row>
    <row r="103" spans="1:13" s="2" customFormat="1" ht="9.75" customHeight="1">
      <c r="A103" s="1"/>
      <c r="D103" s="168"/>
      <c r="E103" s="168"/>
      <c r="F103" s="169"/>
      <c r="G103" s="170"/>
      <c r="H103" s="171"/>
      <c r="I103" s="3"/>
      <c r="J103" s="3"/>
      <c r="K103" s="3"/>
      <c r="L103" s="3"/>
      <c r="M103" s="3"/>
    </row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>
      <c r="G117" s="9"/>
    </row>
    <row r="118" ht="12.75" hidden="1">
      <c r="G118" s="9"/>
    </row>
    <row r="119" ht="12.75" hidden="1">
      <c r="G119" s="9"/>
    </row>
    <row r="120" ht="12.75" hidden="1">
      <c r="G120" s="9"/>
    </row>
    <row r="121" ht="12.75" hidden="1">
      <c r="G121" s="9"/>
    </row>
    <row r="122" ht="12.75" hidden="1">
      <c r="G122" s="9"/>
    </row>
    <row r="123" ht="12.75" hidden="1">
      <c r="G123" s="9"/>
    </row>
    <row r="124" ht="12.75" hidden="1">
      <c r="G124" s="9"/>
    </row>
    <row r="125" ht="12.75" hidden="1">
      <c r="G125" s="9"/>
    </row>
    <row r="126" ht="12.75" hidden="1">
      <c r="G126" s="9"/>
    </row>
    <row r="127" ht="12.75" hidden="1">
      <c r="G127" s="9"/>
    </row>
    <row r="128" ht="12.75" hidden="1">
      <c r="G128" s="9"/>
    </row>
    <row r="129" ht="12.75" hidden="1">
      <c r="G129" s="9"/>
    </row>
    <row r="130" ht="12.75" hidden="1">
      <c r="G130" s="9"/>
    </row>
    <row r="131" ht="12.75" hidden="1">
      <c r="G131" s="9"/>
    </row>
    <row r="132" ht="12.75" hidden="1">
      <c r="G132" s="9"/>
    </row>
    <row r="133" ht="12.75" hidden="1">
      <c r="G133" s="9"/>
    </row>
    <row r="134" ht="12.75" hidden="1">
      <c r="G134" s="9"/>
    </row>
    <row r="135" ht="12.75" hidden="1">
      <c r="G135" s="9"/>
    </row>
    <row r="136" ht="12.75" hidden="1">
      <c r="G136" s="9"/>
    </row>
    <row r="137" ht="12.75" hidden="1">
      <c r="G137" s="9"/>
    </row>
    <row r="138" ht="12.75" hidden="1">
      <c r="G138" s="9"/>
    </row>
    <row r="139" ht="12.75" hidden="1">
      <c r="G139" s="9"/>
    </row>
    <row r="140" ht="12.75" hidden="1">
      <c r="G140" s="9"/>
    </row>
    <row r="141" ht="12.75" hidden="1">
      <c r="G141" s="9"/>
    </row>
    <row r="142" ht="12.75" hidden="1">
      <c r="G142" s="9"/>
    </row>
    <row r="143" ht="12.75" hidden="1">
      <c r="G143" s="9"/>
    </row>
    <row r="144" ht="12.75" hidden="1">
      <c r="G144" s="9"/>
    </row>
    <row r="145" ht="12.75" hidden="1">
      <c r="G145" s="9"/>
    </row>
    <row r="146" ht="12.75" hidden="1">
      <c r="G146" s="9"/>
    </row>
    <row r="147" ht="12.75" hidden="1">
      <c r="G147" s="9"/>
    </row>
    <row r="148" ht="12.75" hidden="1">
      <c r="G148" s="9"/>
    </row>
    <row r="149" ht="12.75" hidden="1">
      <c r="G149" s="9"/>
    </row>
    <row r="150" ht="12.75" hidden="1">
      <c r="G150" s="9"/>
    </row>
    <row r="151" ht="12.75" hidden="1">
      <c r="G151" s="9"/>
    </row>
    <row r="152" ht="12.75" hidden="1">
      <c r="G152" s="9"/>
    </row>
    <row r="153" ht="12.75" hidden="1">
      <c r="G153" s="9"/>
    </row>
    <row r="154" ht="12.75" hidden="1">
      <c r="G154" s="9"/>
    </row>
    <row r="155" ht="12.75" hidden="1">
      <c r="G155" s="9"/>
    </row>
    <row r="156" ht="12.75" hidden="1">
      <c r="G156" s="9"/>
    </row>
    <row r="157" ht="12.75" hidden="1">
      <c r="G157" s="9"/>
    </row>
    <row r="158" ht="12.75" hidden="1">
      <c r="G158" s="9"/>
    </row>
    <row r="159" ht="12.75" hidden="1">
      <c r="G159" s="9"/>
    </row>
    <row r="160" ht="12.75" hidden="1">
      <c r="G160" s="9"/>
    </row>
    <row r="161" ht="12.75" hidden="1">
      <c r="G161" s="9"/>
    </row>
    <row r="162" ht="12.75" hidden="1">
      <c r="G162" s="9"/>
    </row>
    <row r="163" ht="12.75" hidden="1">
      <c r="G163" s="9"/>
    </row>
    <row r="164" ht="12.75" hidden="1">
      <c r="G164" s="9"/>
    </row>
    <row r="165" ht="12.75" hidden="1">
      <c r="G165" s="9"/>
    </row>
    <row r="166" ht="12.75" hidden="1">
      <c r="G166" s="9"/>
    </row>
    <row r="167" ht="12.75" hidden="1">
      <c r="G167" s="9"/>
    </row>
    <row r="168" ht="12.75" hidden="1">
      <c r="G168" s="9"/>
    </row>
    <row r="169" ht="12.75" hidden="1">
      <c r="G169" s="9"/>
    </row>
    <row r="170" ht="12.75" hidden="1">
      <c r="G170" s="9"/>
    </row>
    <row r="171" ht="12.75" hidden="1">
      <c r="G171" s="9"/>
    </row>
    <row r="172" ht="12.75" hidden="1">
      <c r="G172" s="9"/>
    </row>
    <row r="173" ht="12.75" hidden="1">
      <c r="G173" s="9"/>
    </row>
    <row r="174" ht="12.75" hidden="1">
      <c r="G174" s="9"/>
    </row>
    <row r="175" ht="12.75" hidden="1">
      <c r="G175" s="9"/>
    </row>
    <row r="176" ht="12.75" hidden="1">
      <c r="G176" s="9"/>
    </row>
    <row r="177" ht="12.75" hidden="1">
      <c r="G177" s="9"/>
    </row>
    <row r="178" ht="12.75" hidden="1">
      <c r="G178" s="9"/>
    </row>
    <row r="179" ht="12.75" hidden="1">
      <c r="G179" s="9"/>
    </row>
    <row r="180" ht="12.75" hidden="1">
      <c r="G180" s="9"/>
    </row>
    <row r="181" ht="12.75" hidden="1">
      <c r="G181" s="9"/>
    </row>
    <row r="182" ht="12.75" hidden="1">
      <c r="G182" s="9"/>
    </row>
    <row r="183" ht="12.75" hidden="1">
      <c r="G183" s="9"/>
    </row>
    <row r="184" ht="12.75" hidden="1">
      <c r="G184" s="9"/>
    </row>
    <row r="185" ht="12.75" hidden="1">
      <c r="G185" s="9"/>
    </row>
    <row r="186" ht="12.75" hidden="1">
      <c r="G186" s="9"/>
    </row>
    <row r="187" ht="12.75" hidden="1">
      <c r="G187" s="9"/>
    </row>
    <row r="188" ht="12.75" hidden="1">
      <c r="G188" s="9"/>
    </row>
    <row r="189" ht="12.75" hidden="1">
      <c r="G189" s="9"/>
    </row>
    <row r="190" ht="12.75" hidden="1">
      <c r="G190" s="9"/>
    </row>
    <row r="191" ht="12.75" hidden="1">
      <c r="G191" s="9"/>
    </row>
    <row r="192" ht="12.75" hidden="1">
      <c r="G192" s="9"/>
    </row>
    <row r="193" ht="12.75" hidden="1">
      <c r="G193" s="9"/>
    </row>
    <row r="194" ht="12.75" hidden="1">
      <c r="G194" s="9"/>
    </row>
    <row r="195" ht="12.75" hidden="1">
      <c r="G195" s="9"/>
    </row>
    <row r="196" ht="12.75" hidden="1">
      <c r="G196" s="9"/>
    </row>
    <row r="197" ht="12.75" hidden="1">
      <c r="G197" s="9"/>
    </row>
    <row r="198" ht="12.75" hidden="1">
      <c r="G198" s="9"/>
    </row>
    <row r="199" ht="12.75" hidden="1">
      <c r="G199" s="9"/>
    </row>
    <row r="200" ht="12.75" hidden="1">
      <c r="G200" s="9"/>
    </row>
    <row r="201" ht="12.75" hidden="1">
      <c r="G201" s="9"/>
    </row>
    <row r="202" ht="12.75" hidden="1">
      <c r="G202" s="9"/>
    </row>
    <row r="203" ht="0" customHeight="1" hidden="1"/>
    <row r="204" ht="0" customHeight="1" hidden="1"/>
    <row r="205" ht="0" customHeight="1" hidden="1"/>
    <row r="206" ht="0" customHeight="1" hidden="1"/>
    <row r="207" ht="0" customHeight="1" hidden="1"/>
    <row r="208" ht="0" customHeight="1" hidden="1"/>
    <row r="209" ht="0" customHeight="1" hidden="1"/>
    <row r="210" ht="0" customHeight="1" hidden="1"/>
    <row r="211" ht="0" customHeight="1" hidden="1"/>
    <row r="212" ht="0" customHeight="1" hidden="1"/>
    <row r="213" ht="0" customHeight="1" hidden="1"/>
    <row r="214" ht="0" customHeight="1" hidden="1"/>
    <row r="215" ht="0" customHeight="1" hidden="1"/>
    <row r="216" ht="0" customHeight="1" hidden="1"/>
    <row r="217" ht="0" customHeight="1" hidden="1"/>
    <row r="218" ht="0" customHeight="1" hidden="1"/>
    <row r="219" ht="0" customHeight="1" hidden="1"/>
    <row r="220" ht="0" customHeight="1" hidden="1"/>
    <row r="221" ht="0" customHeight="1" hidden="1"/>
    <row r="222" ht="0" customHeight="1" hidden="1"/>
    <row r="223" ht="0" customHeight="1" hidden="1"/>
    <row r="224" ht="0" customHeight="1" hidden="1"/>
    <row r="225" ht="0" customHeight="1" hidden="1"/>
    <row r="226" ht="0" customHeight="1" hidden="1"/>
    <row r="227" ht="0" customHeight="1" hidden="1"/>
    <row r="228" ht="0" customHeight="1" hidden="1"/>
    <row r="229" ht="0" customHeight="1" hidden="1"/>
    <row r="230" ht="0" customHeight="1" hidden="1"/>
    <row r="231" ht="0" customHeight="1" hidden="1"/>
    <row r="232" ht="0" customHeight="1" hidden="1"/>
    <row r="233" ht="0" customHeight="1" hidden="1"/>
    <row r="234" ht="0" customHeight="1" hidden="1"/>
    <row r="235" ht="0" customHeight="1" hidden="1"/>
    <row r="236" ht="0" customHeight="1" hidden="1"/>
    <row r="237" ht="0" customHeight="1" hidden="1"/>
    <row r="238" ht="0" customHeight="1" hidden="1"/>
    <row r="239" ht="0" customHeight="1" hidden="1"/>
    <row r="240" ht="0" customHeight="1" hidden="1"/>
    <row r="241" ht="0" customHeight="1" hidden="1"/>
    <row r="242" ht="0" customHeight="1" hidden="1"/>
    <row r="243" ht="0" customHeight="1" hidden="1"/>
    <row r="244" ht="0" customHeight="1" hidden="1"/>
    <row r="245" ht="0" customHeight="1" hidden="1"/>
    <row r="246" ht="0" customHeight="1" hidden="1"/>
    <row r="247" ht="0" customHeight="1" hidden="1"/>
    <row r="248" ht="0" customHeight="1" hidden="1"/>
    <row r="249" ht="0" customHeight="1" hidden="1"/>
    <row r="250" ht="0" customHeight="1" hidden="1"/>
    <row r="251" ht="0" customHeight="1" hidden="1"/>
    <row r="252" ht="0" customHeight="1" hidden="1"/>
    <row r="253" ht="0" customHeight="1" hidden="1"/>
    <row r="254" ht="0" customHeight="1" hidden="1"/>
    <row r="255" ht="0" customHeight="1" hidden="1"/>
    <row r="256" ht="0" customHeight="1" hidden="1"/>
    <row r="257" ht="0" customHeight="1" hidden="1"/>
    <row r="258" ht="0" customHeight="1" hidden="1"/>
    <row r="259" ht="0" customHeight="1" hidden="1"/>
    <row r="260" ht="0" customHeight="1" hidden="1"/>
    <row r="261" ht="0" customHeight="1" hidden="1"/>
    <row r="262" ht="0" customHeight="1" hidden="1"/>
    <row r="263" ht="0" customHeight="1" hidden="1"/>
    <row r="264" ht="0" customHeight="1" hidden="1"/>
    <row r="265" ht="0" customHeight="1" hidden="1"/>
    <row r="266" ht="0" customHeight="1" hidden="1"/>
    <row r="267" ht="0" customHeight="1" hidden="1"/>
    <row r="268" ht="0" customHeight="1" hidden="1"/>
    <row r="269" ht="0" customHeight="1" hidden="1"/>
    <row r="270" ht="0" customHeight="1" hidden="1"/>
    <row r="271" ht="0" customHeight="1" hidden="1"/>
    <row r="272" ht="0" customHeight="1" hidden="1"/>
    <row r="273" ht="0" customHeight="1" hidden="1"/>
  </sheetData>
  <sheetProtection/>
  <mergeCells count="45">
    <mergeCell ref="D90:I90"/>
    <mergeCell ref="J90:M90"/>
    <mergeCell ref="N90:O90"/>
    <mergeCell ref="C99:P99"/>
    <mergeCell ref="D88:I88"/>
    <mergeCell ref="J88:M88"/>
    <mergeCell ref="N88:O88"/>
    <mergeCell ref="D89:I89"/>
    <mergeCell ref="J89:M89"/>
    <mergeCell ref="N89:O89"/>
    <mergeCell ref="D86:I86"/>
    <mergeCell ref="J86:M86"/>
    <mergeCell ref="N86:O86"/>
    <mergeCell ref="D87:I87"/>
    <mergeCell ref="J87:M87"/>
    <mergeCell ref="N87:O87"/>
    <mergeCell ref="C80:M80"/>
    <mergeCell ref="C81:P81"/>
    <mergeCell ref="C82:P82"/>
    <mergeCell ref="F83:O83"/>
    <mergeCell ref="D85:I85"/>
    <mergeCell ref="J85:M85"/>
    <mergeCell ref="N85:O85"/>
    <mergeCell ref="D39:F39"/>
    <mergeCell ref="D41:F41"/>
    <mergeCell ref="D47:F47"/>
    <mergeCell ref="D54:F54"/>
    <mergeCell ref="D61:F61"/>
    <mergeCell ref="D74:F74"/>
    <mergeCell ref="K13:K14"/>
    <mergeCell ref="L13:L14"/>
    <mergeCell ref="M13:M14"/>
    <mergeCell ref="N13:O13"/>
    <mergeCell ref="D15:F15"/>
    <mergeCell ref="D24:F24"/>
    <mergeCell ref="C6:P6"/>
    <mergeCell ref="C7:O7"/>
    <mergeCell ref="I11:P11"/>
    <mergeCell ref="D13:D14"/>
    <mergeCell ref="E13:E14"/>
    <mergeCell ref="F13:F14"/>
    <mergeCell ref="G13:G14"/>
    <mergeCell ref="H13:H14"/>
    <mergeCell ref="I13:I14"/>
    <mergeCell ref="J13:J14"/>
  </mergeCells>
  <hyperlinks>
    <hyperlink ref="D10" location="Меню!A1" display="Вернуться назад"/>
  </hyperlinks>
  <printOptions horizontalCentered="1"/>
  <pageMargins left="0.7874015748031497" right="0.7874015748031497" top="0.3937007874015748" bottom="0.3937007874015748" header="0" footer="0"/>
  <pageSetup fitToHeight="2" horizontalDpi="600" verticalDpi="600" orientation="portrait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tabColor theme="8" tint="0.39998000860214233"/>
  </sheetPr>
  <dimension ref="A1:IU54"/>
  <sheetViews>
    <sheetView showGridLines="0" zoomScalePageLayoutView="0" workbookViewId="0" topLeftCell="A1">
      <selection activeCell="F20" sqref="F20"/>
    </sheetView>
  </sheetViews>
  <sheetFormatPr defaultColWidth="0" defaultRowHeight="12.75" customHeight="1" zeroHeight="1"/>
  <cols>
    <col min="1" max="2" width="1.28515625" style="242" customWidth="1"/>
    <col min="3" max="3" width="0.71875" style="242" customWidth="1"/>
    <col min="4" max="5" width="12.28125" style="242" customWidth="1"/>
    <col min="6" max="6" width="18.57421875" style="288" customWidth="1"/>
    <col min="7" max="7" width="12.57421875" style="242" customWidth="1"/>
    <col min="8" max="8" width="24.00390625" style="242" customWidth="1"/>
    <col min="9" max="9" width="6.57421875" style="242" customWidth="1"/>
    <col min="10" max="10" width="9.00390625" style="242" customWidth="1"/>
    <col min="11" max="11" width="8.28125" style="242" customWidth="1"/>
    <col min="12" max="12" width="11.28125" style="242" customWidth="1"/>
    <col min="13" max="13" width="11.7109375" style="242" customWidth="1"/>
    <col min="14" max="14" width="8.8515625" style="242" customWidth="1"/>
    <col min="15" max="15" width="9.00390625" style="242" customWidth="1"/>
    <col min="16" max="16" width="0.71875" style="242" customWidth="1"/>
    <col min="17" max="17" width="1.421875" style="248" customWidth="1"/>
    <col min="18" max="18" width="1.421875" style="242" customWidth="1"/>
    <col min="19" max="254" width="9.140625" style="242" hidden="1" customWidth="1"/>
    <col min="255" max="16384" width="0.42578125" style="242" hidden="1" customWidth="1"/>
  </cols>
  <sheetData>
    <row r="1" spans="1:11" s="249" customFormat="1" ht="8.25" customHeight="1">
      <c r="A1" s="278"/>
      <c r="B1" s="278"/>
      <c r="C1" s="278"/>
      <c r="D1" s="279"/>
      <c r="E1" s="279"/>
      <c r="F1" s="280"/>
      <c r="G1" s="281"/>
      <c r="H1" s="282"/>
      <c r="I1" s="282"/>
      <c r="J1" s="282"/>
      <c r="K1" s="282"/>
    </row>
    <row r="2" spans="1:17" s="249" customFormat="1" ht="8.25" customHeight="1">
      <c r="A2" s="241"/>
      <c r="B2" s="283"/>
      <c r="C2" s="283"/>
      <c r="D2" s="284"/>
      <c r="E2" s="284"/>
      <c r="F2" s="285"/>
      <c r="G2" s="286"/>
      <c r="H2" s="287"/>
      <c r="I2" s="287"/>
      <c r="J2" s="287"/>
      <c r="K2" s="287"/>
      <c r="L2" s="283"/>
      <c r="M2" s="283"/>
      <c r="N2" s="283"/>
      <c r="O2" s="283"/>
      <c r="P2" s="283"/>
      <c r="Q2" s="248"/>
    </row>
    <row r="3" spans="1:18" ht="67.5" customHeight="1">
      <c r="A3" s="241"/>
      <c r="D3" s="288"/>
      <c r="E3" s="288"/>
      <c r="F3" s="289"/>
      <c r="G3" s="290"/>
      <c r="H3" s="291"/>
      <c r="I3" s="291"/>
      <c r="J3" s="291"/>
      <c r="K3" s="291"/>
      <c r="R3" s="249"/>
    </row>
    <row r="4" spans="1:18" ht="6" customHeight="1">
      <c r="A4" s="241"/>
      <c r="D4" s="288"/>
      <c r="E4" s="288"/>
      <c r="F4" s="289"/>
      <c r="G4" s="290"/>
      <c r="H4" s="291"/>
      <c r="I4" s="291"/>
      <c r="J4" s="291"/>
      <c r="K4" s="291"/>
      <c r="R4" s="249"/>
    </row>
    <row r="5" spans="1:18" ht="28.5" customHeight="1">
      <c r="A5" s="241"/>
      <c r="C5" s="739" t="s">
        <v>277</v>
      </c>
      <c r="D5" s="739"/>
      <c r="E5" s="739"/>
      <c r="F5" s="739"/>
      <c r="G5" s="739"/>
      <c r="H5" s="739"/>
      <c r="I5" s="739"/>
      <c r="J5" s="739"/>
      <c r="K5" s="739"/>
      <c r="L5" s="739"/>
      <c r="M5" s="739"/>
      <c r="N5" s="739"/>
      <c r="O5" s="292"/>
      <c r="R5" s="249"/>
    </row>
    <row r="6" spans="1:18" s="294" customFormat="1" ht="10.5" customHeight="1">
      <c r="A6" s="293"/>
      <c r="C6" s="740"/>
      <c r="D6" s="740"/>
      <c r="E6" s="740"/>
      <c r="F6" s="740"/>
      <c r="G6" s="740"/>
      <c r="H6" s="740"/>
      <c r="I6" s="740"/>
      <c r="J6" s="740"/>
      <c r="K6" s="740"/>
      <c r="L6" s="740"/>
      <c r="M6" s="740"/>
      <c r="N6" s="740"/>
      <c r="O6" s="295"/>
      <c r="P6" s="296"/>
      <c r="Q6" s="248"/>
      <c r="R6" s="249"/>
    </row>
    <row r="7" spans="1:18" s="294" customFormat="1" ht="19.5" customHeight="1">
      <c r="A7" s="293"/>
      <c r="C7" s="297"/>
      <c r="D7" s="298" t="s">
        <v>1</v>
      </c>
      <c r="E7" s="297"/>
      <c r="F7" s="297"/>
      <c r="G7" s="297"/>
      <c r="H7" s="741"/>
      <c r="I7" s="741"/>
      <c r="J7" s="741"/>
      <c r="K7" s="741"/>
      <c r="L7" s="741"/>
      <c r="M7" s="741"/>
      <c r="N7" s="741"/>
      <c r="O7" s="299"/>
      <c r="P7" s="296"/>
      <c r="Q7" s="248"/>
      <c r="R7" s="249"/>
    </row>
    <row r="8" spans="1:18" s="294" customFormat="1" ht="19.5" customHeight="1" hidden="1">
      <c r="A8" s="293"/>
      <c r="C8" s="297"/>
      <c r="D8" s="742" t="s">
        <v>278</v>
      </c>
      <c r="E8" s="742"/>
      <c r="F8" s="742"/>
      <c r="G8" s="742"/>
      <c r="H8" s="742"/>
      <c r="I8" s="742"/>
      <c r="J8" s="742"/>
      <c r="K8" s="742"/>
      <c r="L8" s="742"/>
      <c r="M8" s="742"/>
      <c r="N8" s="299"/>
      <c r="O8" s="299"/>
      <c r="P8" s="296"/>
      <c r="Q8" s="248"/>
      <c r="R8" s="249"/>
    </row>
    <row r="9" spans="1:18" ht="15" customHeight="1" thickBot="1">
      <c r="A9" s="241"/>
      <c r="D9" s="300">
        <v>43512</v>
      </c>
      <c r="E9" s="301"/>
      <c r="F9" s="302"/>
      <c r="G9" s="290"/>
      <c r="I9" s="303"/>
      <c r="J9" s="303"/>
      <c r="K9" s="303"/>
      <c r="L9" s="303" t="s">
        <v>2</v>
      </c>
      <c r="M9" s="303"/>
      <c r="N9" s="303"/>
      <c r="O9" s="304"/>
      <c r="P9" s="305"/>
      <c r="R9" s="249"/>
    </row>
    <row r="10" spans="1:18" ht="6.75" customHeight="1" thickTop="1">
      <c r="A10" s="241"/>
      <c r="C10" s="306"/>
      <c r="D10" s="307"/>
      <c r="E10" s="307"/>
      <c r="F10" s="308"/>
      <c r="G10" s="309"/>
      <c r="H10" s="309"/>
      <c r="I10" s="309"/>
      <c r="J10" s="310"/>
      <c r="K10" s="310"/>
      <c r="L10" s="311"/>
      <c r="M10" s="311"/>
      <c r="N10" s="311"/>
      <c r="O10" s="311"/>
      <c r="P10" s="312"/>
      <c r="R10" s="249"/>
    </row>
    <row r="11" spans="1:18" s="315" customFormat="1" ht="36" customHeight="1">
      <c r="A11" s="241"/>
      <c r="B11" s="242"/>
      <c r="C11" s="313"/>
      <c r="D11" s="743" t="s">
        <v>279</v>
      </c>
      <c r="E11" s="745" t="s">
        <v>204</v>
      </c>
      <c r="F11" s="747" t="s">
        <v>180</v>
      </c>
      <c r="G11" s="749" t="s">
        <v>5</v>
      </c>
      <c r="H11" s="749" t="s">
        <v>280</v>
      </c>
      <c r="I11" s="743" t="s">
        <v>7</v>
      </c>
      <c r="J11" s="751" t="s">
        <v>8</v>
      </c>
      <c r="K11" s="747" t="s">
        <v>9</v>
      </c>
      <c r="L11" s="747" t="s">
        <v>281</v>
      </c>
      <c r="M11" s="747" t="s">
        <v>282</v>
      </c>
      <c r="N11" s="753" t="s">
        <v>283</v>
      </c>
      <c r="O11" s="753"/>
      <c r="P11" s="314"/>
      <c r="Q11" s="248"/>
      <c r="R11" s="249"/>
    </row>
    <row r="12" spans="1:18" s="315" customFormat="1" ht="24" customHeight="1">
      <c r="A12" s="241"/>
      <c r="B12" s="242"/>
      <c r="C12" s="313"/>
      <c r="D12" s="744"/>
      <c r="E12" s="746"/>
      <c r="F12" s="748"/>
      <c r="G12" s="750"/>
      <c r="H12" s="750"/>
      <c r="I12" s="744"/>
      <c r="J12" s="752"/>
      <c r="K12" s="748"/>
      <c r="L12" s="748"/>
      <c r="M12" s="748"/>
      <c r="N12" s="316" t="s">
        <v>11</v>
      </c>
      <c r="O12" s="317" t="s">
        <v>12</v>
      </c>
      <c r="P12" s="314"/>
      <c r="Q12" s="248"/>
      <c r="R12" s="249"/>
    </row>
    <row r="13" spans="1:18" s="322" customFormat="1" ht="18.75" customHeight="1">
      <c r="A13" s="241"/>
      <c r="B13" s="242"/>
      <c r="C13" s="318"/>
      <c r="D13" s="319" t="s">
        <v>284</v>
      </c>
      <c r="E13" s="320"/>
      <c r="F13" s="321"/>
      <c r="G13" s="320"/>
      <c r="H13" s="320"/>
      <c r="I13" s="320"/>
      <c r="J13" s="320"/>
      <c r="K13" s="320"/>
      <c r="N13" s="320"/>
      <c r="O13" s="320"/>
      <c r="P13" s="314"/>
      <c r="Q13" s="248"/>
      <c r="R13" s="249"/>
    </row>
    <row r="14" spans="1:18" s="333" customFormat="1" ht="12.75" customHeight="1">
      <c r="A14" s="241"/>
      <c r="B14" s="251"/>
      <c r="C14" s="323"/>
      <c r="D14" s="324">
        <v>25102801</v>
      </c>
      <c r="E14" s="325" t="s">
        <v>285</v>
      </c>
      <c r="F14" s="326" t="s">
        <v>286</v>
      </c>
      <c r="G14" s="327" t="s">
        <v>287</v>
      </c>
      <c r="H14" s="328" t="s">
        <v>288</v>
      </c>
      <c r="I14" s="329">
        <v>2.1</v>
      </c>
      <c r="J14" s="329">
        <v>50</v>
      </c>
      <c r="K14" s="330">
        <v>540</v>
      </c>
      <c r="L14" s="330">
        <v>9180</v>
      </c>
      <c r="M14" s="330">
        <v>10260</v>
      </c>
      <c r="N14" s="331">
        <v>53.76</v>
      </c>
      <c r="O14" s="332">
        <v>2688</v>
      </c>
      <c r="P14" s="314"/>
      <c r="Q14" s="248"/>
      <c r="R14" s="249"/>
    </row>
    <row r="15" spans="1:18" s="333" customFormat="1" ht="12.75" customHeight="1">
      <c r="A15" s="241"/>
      <c r="B15" s="251"/>
      <c r="C15" s="323"/>
      <c r="D15" s="324">
        <v>25102805</v>
      </c>
      <c r="E15" s="325" t="s">
        <v>285</v>
      </c>
      <c r="F15" s="326" t="s">
        <v>289</v>
      </c>
      <c r="G15" s="327" t="s">
        <v>287</v>
      </c>
      <c r="H15" s="328" t="s">
        <v>290</v>
      </c>
      <c r="I15" s="329">
        <v>2.2</v>
      </c>
      <c r="J15" s="329">
        <v>50</v>
      </c>
      <c r="K15" s="330">
        <v>540</v>
      </c>
      <c r="L15" s="330">
        <v>8640</v>
      </c>
      <c r="M15" s="330">
        <v>9720</v>
      </c>
      <c r="N15" s="331">
        <v>53.76</v>
      </c>
      <c r="O15" s="332">
        <v>2688</v>
      </c>
      <c r="P15" s="314"/>
      <c r="Q15" s="248"/>
      <c r="R15" s="249"/>
    </row>
    <row r="16" spans="1:18" s="333" customFormat="1" ht="12.75" customHeight="1">
      <c r="A16" s="241"/>
      <c r="B16" s="251"/>
      <c r="C16" s="323"/>
      <c r="D16" s="324">
        <v>25102802</v>
      </c>
      <c r="E16" s="325" t="s">
        <v>285</v>
      </c>
      <c r="F16" s="326" t="s">
        <v>291</v>
      </c>
      <c r="G16" s="327" t="s">
        <v>287</v>
      </c>
      <c r="H16" s="328" t="s">
        <v>292</v>
      </c>
      <c r="I16" s="329">
        <v>2.2</v>
      </c>
      <c r="J16" s="329">
        <v>50</v>
      </c>
      <c r="K16" s="330">
        <v>540</v>
      </c>
      <c r="L16" s="330">
        <v>8640</v>
      </c>
      <c r="M16" s="330">
        <v>9720</v>
      </c>
      <c r="N16" s="331">
        <v>58.82</v>
      </c>
      <c r="O16" s="332">
        <v>2941</v>
      </c>
      <c r="P16" s="314"/>
      <c r="Q16" s="248"/>
      <c r="R16" s="249"/>
    </row>
    <row r="17" spans="1:18" s="333" customFormat="1" ht="12.75" customHeight="1">
      <c r="A17" s="241"/>
      <c r="B17" s="251"/>
      <c r="C17" s="323"/>
      <c r="D17" s="324">
        <v>25102804</v>
      </c>
      <c r="E17" s="325" t="s">
        <v>285</v>
      </c>
      <c r="F17" s="326" t="s">
        <v>293</v>
      </c>
      <c r="G17" s="327" t="s">
        <v>287</v>
      </c>
      <c r="H17" s="328" t="s">
        <v>294</v>
      </c>
      <c r="I17" s="329">
        <v>2.2</v>
      </c>
      <c r="J17" s="329">
        <v>50</v>
      </c>
      <c r="K17" s="330">
        <v>540</v>
      </c>
      <c r="L17" s="330">
        <v>8640</v>
      </c>
      <c r="M17" s="330">
        <v>9720</v>
      </c>
      <c r="N17" s="331">
        <v>59.89</v>
      </c>
      <c r="O17" s="332">
        <v>2994.5</v>
      </c>
      <c r="P17" s="314"/>
      <c r="Q17" s="248"/>
      <c r="R17" s="249"/>
    </row>
    <row r="18" spans="1:18" s="333" customFormat="1" ht="12.75" customHeight="1">
      <c r="A18" s="241"/>
      <c r="B18" s="251"/>
      <c r="C18" s="323"/>
      <c r="D18" s="324">
        <v>25102803</v>
      </c>
      <c r="E18" s="325" t="s">
        <v>285</v>
      </c>
      <c r="F18" s="326" t="s">
        <v>295</v>
      </c>
      <c r="G18" s="327" t="s">
        <v>287</v>
      </c>
      <c r="H18" s="328" t="s">
        <v>296</v>
      </c>
      <c r="I18" s="329">
        <v>2.2</v>
      </c>
      <c r="J18" s="329">
        <v>50</v>
      </c>
      <c r="K18" s="330">
        <v>540</v>
      </c>
      <c r="L18" s="330">
        <v>8640</v>
      </c>
      <c r="M18" s="330">
        <v>9720</v>
      </c>
      <c r="N18" s="331">
        <v>58.82</v>
      </c>
      <c r="O18" s="332">
        <v>2941</v>
      </c>
      <c r="P18" s="314"/>
      <c r="Q18" s="248"/>
      <c r="R18" s="249"/>
    </row>
    <row r="19" spans="1:18" s="333" customFormat="1" ht="12.75" customHeight="1">
      <c r="A19" s="241"/>
      <c r="B19" s="251"/>
      <c r="C19" s="323"/>
      <c r="D19" s="324">
        <v>25102806</v>
      </c>
      <c r="E19" s="325" t="s">
        <v>297</v>
      </c>
      <c r="F19" s="326" t="s">
        <v>298</v>
      </c>
      <c r="G19" s="327" t="s">
        <v>287</v>
      </c>
      <c r="H19" s="328" t="s">
        <v>299</v>
      </c>
      <c r="I19" s="329">
        <v>2.2</v>
      </c>
      <c r="J19" s="329">
        <v>50</v>
      </c>
      <c r="K19" s="330">
        <v>540</v>
      </c>
      <c r="L19" s="330">
        <v>8640</v>
      </c>
      <c r="M19" s="330">
        <v>9720</v>
      </c>
      <c r="N19" s="331">
        <v>56.17</v>
      </c>
      <c r="O19" s="332">
        <v>2808.5</v>
      </c>
      <c r="P19" s="314"/>
      <c r="Q19" s="248"/>
      <c r="R19" s="249"/>
    </row>
    <row r="20" spans="1:18" s="322" customFormat="1" ht="18.75" customHeight="1">
      <c r="A20" s="241"/>
      <c r="B20" s="242"/>
      <c r="C20" s="318"/>
      <c r="D20" s="319" t="s">
        <v>300</v>
      </c>
      <c r="E20" s="320"/>
      <c r="F20" s="321"/>
      <c r="G20" s="320"/>
      <c r="H20" s="320"/>
      <c r="I20" s="320"/>
      <c r="J20" s="320"/>
      <c r="K20" s="320"/>
      <c r="N20" s="320"/>
      <c r="O20" s="320"/>
      <c r="P20" s="314"/>
      <c r="Q20" s="248"/>
      <c r="R20" s="249"/>
    </row>
    <row r="21" spans="1:18" s="335" customFormat="1" ht="12.75" customHeight="1">
      <c r="A21" s="241"/>
      <c r="B21" s="322"/>
      <c r="C21" s="334"/>
      <c r="D21" s="324">
        <v>25102026</v>
      </c>
      <c r="E21" s="325" t="s">
        <v>285</v>
      </c>
      <c r="F21" s="326" t="s">
        <v>301</v>
      </c>
      <c r="G21" s="327" t="s">
        <v>287</v>
      </c>
      <c r="H21" s="328" t="s">
        <v>288</v>
      </c>
      <c r="I21" s="329">
        <v>2.2</v>
      </c>
      <c r="J21" s="329">
        <v>50</v>
      </c>
      <c r="K21" s="330">
        <v>540</v>
      </c>
      <c r="L21" s="329">
        <v>8640</v>
      </c>
      <c r="M21" s="329">
        <v>9720</v>
      </c>
      <c r="N21" s="331">
        <v>48.16</v>
      </c>
      <c r="O21" s="332">
        <v>2408</v>
      </c>
      <c r="P21" s="314"/>
      <c r="Q21" s="248"/>
      <c r="R21" s="249"/>
    </row>
    <row r="22" spans="1:18" s="335" customFormat="1" ht="12.75" customHeight="1">
      <c r="A22" s="241"/>
      <c r="B22" s="322"/>
      <c r="C22" s="334"/>
      <c r="D22" s="324">
        <v>25103900</v>
      </c>
      <c r="E22" s="325" t="s">
        <v>285</v>
      </c>
      <c r="F22" s="326" t="s">
        <v>302</v>
      </c>
      <c r="G22" s="327" t="s">
        <v>287</v>
      </c>
      <c r="H22" s="328" t="s">
        <v>303</v>
      </c>
      <c r="I22" s="329">
        <v>2.2</v>
      </c>
      <c r="J22" s="329">
        <v>50</v>
      </c>
      <c r="K22" s="330">
        <v>540</v>
      </c>
      <c r="L22" s="329">
        <v>8640</v>
      </c>
      <c r="M22" s="329">
        <v>9720</v>
      </c>
      <c r="N22" s="331">
        <v>69.83</v>
      </c>
      <c r="O22" s="332">
        <v>3491.5</v>
      </c>
      <c r="P22" s="314"/>
      <c r="Q22" s="248"/>
      <c r="R22" s="249"/>
    </row>
    <row r="23" spans="1:18" s="333" customFormat="1" ht="12.75" customHeight="1" hidden="1">
      <c r="A23" s="241"/>
      <c r="B23" s="251"/>
      <c r="C23" s="323"/>
      <c r="D23" s="324">
        <v>25103160</v>
      </c>
      <c r="E23" s="325" t="s">
        <v>304</v>
      </c>
      <c r="F23" s="336" t="s">
        <v>305</v>
      </c>
      <c r="G23" s="337" t="s">
        <v>306</v>
      </c>
      <c r="H23" s="338" t="s">
        <v>307</v>
      </c>
      <c r="I23" s="339">
        <v>2.5</v>
      </c>
      <c r="J23" s="340">
        <v>50</v>
      </c>
      <c r="K23" s="330">
        <v>420</v>
      </c>
      <c r="L23" s="330">
        <v>540</v>
      </c>
      <c r="M23" s="330">
        <v>540</v>
      </c>
      <c r="N23" s="331">
        <v>0</v>
      </c>
      <c r="O23" s="332">
        <v>0</v>
      </c>
      <c r="P23" s="314"/>
      <c r="Q23" s="248"/>
      <c r="R23" s="249"/>
    </row>
    <row r="24" spans="1:18" s="250" customFormat="1" ht="4.5" customHeight="1" thickBot="1">
      <c r="A24" s="241"/>
      <c r="B24" s="242"/>
      <c r="C24" s="341"/>
      <c r="D24" s="342"/>
      <c r="E24" s="342"/>
      <c r="F24" s="343"/>
      <c r="G24" s="342"/>
      <c r="H24" s="344"/>
      <c r="I24" s="344"/>
      <c r="J24" s="344"/>
      <c r="K24" s="344"/>
      <c r="L24" s="345"/>
      <c r="M24" s="345"/>
      <c r="N24" s="345"/>
      <c r="O24" s="345"/>
      <c r="P24" s="346"/>
      <c r="Q24" s="248"/>
      <c r="R24" s="249"/>
    </row>
    <row r="25" spans="1:18" s="250" customFormat="1" ht="4.5" customHeight="1" thickTop="1">
      <c r="A25" s="241"/>
      <c r="B25" s="242"/>
      <c r="C25" s="243"/>
      <c r="D25" s="245"/>
      <c r="E25" s="245"/>
      <c r="F25" s="246"/>
      <c r="G25" s="245"/>
      <c r="H25" s="247"/>
      <c r="I25" s="247"/>
      <c r="J25" s="247"/>
      <c r="K25" s="247"/>
      <c r="L25" s="243"/>
      <c r="M25" s="243"/>
      <c r="N25" s="243"/>
      <c r="O25" s="243"/>
      <c r="P25" s="242"/>
      <c r="Q25" s="248"/>
      <c r="R25" s="249"/>
    </row>
    <row r="26" spans="1:18" s="250" customFormat="1" ht="4.5" customHeight="1">
      <c r="A26" s="241"/>
      <c r="B26" s="242"/>
      <c r="C26" s="243"/>
      <c r="D26" s="245"/>
      <c r="E26" s="245"/>
      <c r="F26" s="246"/>
      <c r="G26" s="245"/>
      <c r="H26" s="247"/>
      <c r="I26" s="247"/>
      <c r="J26" s="247"/>
      <c r="K26" s="247"/>
      <c r="L26" s="243"/>
      <c r="M26" s="243"/>
      <c r="N26" s="243"/>
      <c r="O26" s="243"/>
      <c r="P26" s="242"/>
      <c r="Q26" s="248"/>
      <c r="R26" s="249"/>
    </row>
    <row r="27" spans="1:18" s="250" customFormat="1" ht="18.75" customHeight="1">
      <c r="A27" s="241"/>
      <c r="B27" s="242"/>
      <c r="C27" s="243"/>
      <c r="D27" s="244" t="s">
        <v>273</v>
      </c>
      <c r="E27" s="245"/>
      <c r="F27" s="246"/>
      <c r="G27" s="245"/>
      <c r="H27" s="247"/>
      <c r="I27" s="247"/>
      <c r="J27" s="247"/>
      <c r="K27" s="247"/>
      <c r="L27" s="243"/>
      <c r="M27" s="243"/>
      <c r="N27" s="243"/>
      <c r="O27" s="243"/>
      <c r="P27" s="242"/>
      <c r="Q27" s="248"/>
      <c r="R27" s="249"/>
    </row>
    <row r="28" spans="1:18" s="322" customFormat="1" ht="2.25" customHeight="1">
      <c r="A28" s="241"/>
      <c r="C28" s="347"/>
      <c r="D28" s="348"/>
      <c r="E28" s="349"/>
      <c r="F28" s="350"/>
      <c r="G28" s="349"/>
      <c r="H28" s="351"/>
      <c r="I28" s="351"/>
      <c r="J28" s="351"/>
      <c r="K28" s="351"/>
      <c r="L28" s="352"/>
      <c r="M28" s="352"/>
      <c r="N28" s="352"/>
      <c r="O28" s="352"/>
      <c r="Q28" s="248"/>
      <c r="R28" s="249"/>
    </row>
    <row r="29" spans="1:18" s="322" customFormat="1" ht="3.75" customHeight="1">
      <c r="A29" s="241"/>
      <c r="C29" s="347"/>
      <c r="D29" s="348"/>
      <c r="E29" s="349"/>
      <c r="F29" s="350"/>
      <c r="G29" s="349"/>
      <c r="H29" s="351"/>
      <c r="I29" s="351"/>
      <c r="J29" s="351"/>
      <c r="K29" s="351"/>
      <c r="L29" s="352"/>
      <c r="M29" s="352"/>
      <c r="N29" s="352"/>
      <c r="O29" s="352"/>
      <c r="Q29" s="248"/>
      <c r="R29" s="249"/>
    </row>
    <row r="30" spans="1:18" s="251" customFormat="1" ht="12.75" customHeight="1" hidden="1">
      <c r="A30" s="241"/>
      <c r="C30" s="353" t="s">
        <v>308</v>
      </c>
      <c r="E30" s="354"/>
      <c r="F30" s="286"/>
      <c r="G30" s="354"/>
      <c r="H30" s="253"/>
      <c r="I30" s="253"/>
      <c r="J30" s="253"/>
      <c r="K30" s="253"/>
      <c r="L30" s="253"/>
      <c r="M30" s="253"/>
      <c r="N30" s="253"/>
      <c r="O30" s="253"/>
      <c r="Q30" s="248"/>
      <c r="R30" s="249"/>
    </row>
    <row r="31" spans="1:18" s="251" customFormat="1" ht="43.5" customHeight="1">
      <c r="A31" s="241"/>
      <c r="C31" s="732" t="s">
        <v>309</v>
      </c>
      <c r="D31" s="732"/>
      <c r="E31" s="732"/>
      <c r="F31" s="732"/>
      <c r="G31" s="732"/>
      <c r="H31" s="732"/>
      <c r="I31" s="732"/>
      <c r="J31" s="732"/>
      <c r="K31" s="732"/>
      <c r="L31" s="732"/>
      <c r="M31" s="732"/>
      <c r="N31" s="253"/>
      <c r="O31" s="253"/>
      <c r="Q31" s="248"/>
      <c r="R31" s="249"/>
    </row>
    <row r="32" spans="1:18" s="251" customFormat="1" ht="16.5" customHeight="1">
      <c r="A32" s="241"/>
      <c r="C32" s="252"/>
      <c r="D32" s="252"/>
      <c r="E32" s="252"/>
      <c r="F32" s="355"/>
      <c r="G32" s="252"/>
      <c r="H32" s="252"/>
      <c r="I32" s="252"/>
      <c r="J32" s="252"/>
      <c r="K32" s="252"/>
      <c r="L32" s="252"/>
      <c r="M32" s="252"/>
      <c r="N32" s="253"/>
      <c r="O32" s="253"/>
      <c r="Q32" s="248"/>
      <c r="R32" s="249"/>
    </row>
    <row r="33" spans="1:255" s="50" customFormat="1" ht="16.5" customHeight="1">
      <c r="A33" s="49"/>
      <c r="C33" s="754" t="s">
        <v>179</v>
      </c>
      <c r="D33" s="754"/>
      <c r="E33" s="754"/>
      <c r="F33" s="754"/>
      <c r="G33" s="754"/>
      <c r="H33" s="754"/>
      <c r="I33" s="754"/>
      <c r="J33" s="754"/>
      <c r="K33" s="754"/>
      <c r="L33" s="754"/>
      <c r="M33" s="754"/>
      <c r="N33" s="356"/>
      <c r="O33" s="356"/>
      <c r="Q33" s="248"/>
      <c r="R33" s="249"/>
      <c r="S33" s="249"/>
      <c r="T33" s="357"/>
      <c r="U33" s="249"/>
      <c r="V33" s="357"/>
      <c r="W33" s="249"/>
      <c r="X33" s="357"/>
      <c r="Y33" s="249"/>
      <c r="Z33" s="357"/>
      <c r="AA33" s="249"/>
      <c r="AB33" s="357"/>
      <c r="AC33" s="249"/>
      <c r="AD33" s="357"/>
      <c r="AE33" s="249"/>
      <c r="AF33" s="357"/>
      <c r="AG33" s="249"/>
      <c r="AH33" s="357"/>
      <c r="AI33" s="249"/>
      <c r="AJ33" s="357"/>
      <c r="AK33" s="249"/>
      <c r="AL33" s="357"/>
      <c r="AM33" s="249"/>
      <c r="AN33" s="357"/>
      <c r="AO33" s="249"/>
      <c r="AP33" s="357"/>
      <c r="AQ33" s="249"/>
      <c r="AR33" s="357"/>
      <c r="AS33" s="249"/>
      <c r="AT33" s="357"/>
      <c r="AU33" s="249"/>
      <c r="AV33" s="357"/>
      <c r="AW33" s="249"/>
      <c r="AX33" s="357"/>
      <c r="AY33" s="249"/>
      <c r="AZ33" s="357"/>
      <c r="BA33" s="249"/>
      <c r="BB33" s="357"/>
      <c r="BC33" s="249"/>
      <c r="BD33" s="357"/>
      <c r="BE33" s="249"/>
      <c r="BF33" s="357"/>
      <c r="BG33" s="249"/>
      <c r="BH33" s="357"/>
      <c r="BI33" s="249"/>
      <c r="BJ33" s="357"/>
      <c r="BK33" s="249"/>
      <c r="BL33" s="357"/>
      <c r="BM33" s="249"/>
      <c r="BN33" s="357"/>
      <c r="BO33" s="249"/>
      <c r="BP33" s="357"/>
      <c r="BQ33" s="249"/>
      <c r="BR33" s="357"/>
      <c r="BS33" s="249"/>
      <c r="BT33" s="357"/>
      <c r="BU33" s="249"/>
      <c r="BV33" s="357"/>
      <c r="BW33" s="249"/>
      <c r="BX33" s="357"/>
      <c r="BY33" s="249"/>
      <c r="BZ33" s="357"/>
      <c r="CA33" s="249"/>
      <c r="CB33" s="357"/>
      <c r="CC33" s="249"/>
      <c r="CD33" s="357"/>
      <c r="CE33" s="249"/>
      <c r="CF33" s="357"/>
      <c r="CG33" s="249"/>
      <c r="CH33" s="357"/>
      <c r="CI33" s="249"/>
      <c r="CJ33" s="357"/>
      <c r="CK33" s="249"/>
      <c r="CL33" s="357"/>
      <c r="CM33" s="249"/>
      <c r="CN33" s="357"/>
      <c r="CO33" s="249"/>
      <c r="CP33" s="357"/>
      <c r="CQ33" s="249"/>
      <c r="CR33" s="357"/>
      <c r="CS33" s="249"/>
      <c r="CT33" s="357"/>
      <c r="CU33" s="249"/>
      <c r="CV33" s="357"/>
      <c r="CW33" s="249"/>
      <c r="CX33" s="357"/>
      <c r="CY33" s="249"/>
      <c r="CZ33" s="357"/>
      <c r="DA33" s="249"/>
      <c r="DB33" s="357"/>
      <c r="DC33" s="249"/>
      <c r="DD33" s="357"/>
      <c r="DE33" s="249"/>
      <c r="DF33" s="357"/>
      <c r="DG33" s="249"/>
      <c r="DH33" s="357"/>
      <c r="DI33" s="249"/>
      <c r="DJ33" s="357"/>
      <c r="DK33" s="249"/>
      <c r="DL33" s="357"/>
      <c r="DM33" s="249"/>
      <c r="DN33" s="357"/>
      <c r="DO33" s="249"/>
      <c r="DP33" s="357"/>
      <c r="DQ33" s="249"/>
      <c r="DR33" s="357"/>
      <c r="DS33" s="249"/>
      <c r="DT33" s="357"/>
      <c r="DU33" s="249"/>
      <c r="DV33" s="357"/>
      <c r="DW33" s="249"/>
      <c r="DX33" s="357"/>
      <c r="DY33" s="249"/>
      <c r="DZ33" s="357"/>
      <c r="EA33" s="249"/>
      <c r="EB33" s="357"/>
      <c r="EC33" s="249"/>
      <c r="ED33" s="357"/>
      <c r="EE33" s="249"/>
      <c r="EF33" s="357"/>
      <c r="EG33" s="249"/>
      <c r="EH33" s="357"/>
      <c r="EI33" s="249"/>
      <c r="EJ33" s="357"/>
      <c r="EK33" s="249"/>
      <c r="EL33" s="357"/>
      <c r="EM33" s="249"/>
      <c r="EN33" s="357"/>
      <c r="EO33" s="249"/>
      <c r="EP33" s="357"/>
      <c r="EQ33" s="249"/>
      <c r="ER33" s="357"/>
      <c r="ES33" s="249"/>
      <c r="ET33" s="357"/>
      <c r="EU33" s="249"/>
      <c r="EV33" s="357"/>
      <c r="EW33" s="249"/>
      <c r="EX33" s="357"/>
      <c r="EY33" s="249"/>
      <c r="EZ33" s="357"/>
      <c r="FA33" s="249"/>
      <c r="FB33" s="357"/>
      <c r="FC33" s="249"/>
      <c r="FD33" s="357"/>
      <c r="FE33" s="249"/>
      <c r="FF33" s="357"/>
      <c r="FG33" s="249"/>
      <c r="FH33" s="357"/>
      <c r="FI33" s="249"/>
      <c r="FJ33" s="357"/>
      <c r="FK33" s="249"/>
      <c r="FL33" s="357"/>
      <c r="FM33" s="249"/>
      <c r="FN33" s="357"/>
      <c r="FO33" s="249"/>
      <c r="FP33" s="357"/>
      <c r="FQ33" s="249"/>
      <c r="FR33" s="357"/>
      <c r="FS33" s="249"/>
      <c r="FT33" s="357"/>
      <c r="FU33" s="249"/>
      <c r="FV33" s="357"/>
      <c r="FW33" s="249"/>
      <c r="FX33" s="357"/>
      <c r="FY33" s="249"/>
      <c r="FZ33" s="357"/>
      <c r="GA33" s="249"/>
      <c r="GB33" s="357"/>
      <c r="GC33" s="249"/>
      <c r="GD33" s="357"/>
      <c r="GE33" s="249"/>
      <c r="GF33" s="357"/>
      <c r="GG33" s="249"/>
      <c r="GH33" s="357"/>
      <c r="GI33" s="249"/>
      <c r="GJ33" s="357"/>
      <c r="GK33" s="249"/>
      <c r="GL33" s="357"/>
      <c r="GM33" s="249"/>
      <c r="GN33" s="357"/>
      <c r="GO33" s="249"/>
      <c r="GP33" s="357"/>
      <c r="GQ33" s="249"/>
      <c r="GR33" s="357"/>
      <c r="GS33" s="249"/>
      <c r="GT33" s="357"/>
      <c r="GU33" s="249"/>
      <c r="GV33" s="357"/>
      <c r="GW33" s="249"/>
      <c r="GX33" s="357"/>
      <c r="GY33" s="249"/>
      <c r="GZ33" s="357"/>
      <c r="HA33" s="249"/>
      <c r="HB33" s="357"/>
      <c r="HC33" s="249"/>
      <c r="HD33" s="357"/>
      <c r="HE33" s="249"/>
      <c r="HF33" s="357"/>
      <c r="HG33" s="249"/>
      <c r="HH33" s="357"/>
      <c r="HI33" s="249"/>
      <c r="HJ33" s="357"/>
      <c r="HK33" s="249"/>
      <c r="HL33" s="357"/>
      <c r="HM33" s="249"/>
      <c r="HN33" s="357"/>
      <c r="HO33" s="249"/>
      <c r="HP33" s="357"/>
      <c r="HQ33" s="249"/>
      <c r="HR33" s="357"/>
      <c r="HS33" s="249"/>
      <c r="HT33" s="357"/>
      <c r="HU33" s="249"/>
      <c r="HV33" s="357"/>
      <c r="HW33" s="249"/>
      <c r="HX33" s="357"/>
      <c r="HY33" s="249"/>
      <c r="HZ33" s="357"/>
      <c r="IA33" s="249"/>
      <c r="IB33" s="357"/>
      <c r="IC33" s="249"/>
      <c r="ID33" s="357"/>
      <c r="IE33" s="249"/>
      <c r="IF33" s="357"/>
      <c r="IG33" s="249"/>
      <c r="IH33" s="357"/>
      <c r="II33" s="249"/>
      <c r="IJ33" s="357"/>
      <c r="IK33" s="249"/>
      <c r="IL33" s="357"/>
      <c r="IM33" s="249"/>
      <c r="IN33" s="357"/>
      <c r="IO33" s="249"/>
      <c r="IP33" s="357"/>
      <c r="IQ33" s="249"/>
      <c r="IR33" s="357"/>
      <c r="IS33" s="249"/>
      <c r="IT33" s="357"/>
      <c r="IU33" s="249"/>
    </row>
    <row r="34" spans="1:255" s="50" customFormat="1" ht="12" customHeight="1" thickBot="1">
      <c r="A34" s="49"/>
      <c r="C34" s="358"/>
      <c r="D34" s="359"/>
      <c r="E34" s="358"/>
      <c r="F34" s="360"/>
      <c r="G34" s="358"/>
      <c r="H34" s="358"/>
      <c r="J34" s="358"/>
      <c r="K34" s="358"/>
      <c r="L34" s="358" t="s">
        <v>2</v>
      </c>
      <c r="O34" s="361"/>
      <c r="Q34" s="248"/>
      <c r="R34" s="249"/>
      <c r="S34" s="249"/>
      <c r="T34" s="357"/>
      <c r="U34" s="249"/>
      <c r="V34" s="357"/>
      <c r="W34" s="249"/>
      <c r="X34" s="357"/>
      <c r="Y34" s="249"/>
      <c r="Z34" s="357"/>
      <c r="AA34" s="249"/>
      <c r="AB34" s="357"/>
      <c r="AC34" s="249"/>
      <c r="AD34" s="357"/>
      <c r="AE34" s="249"/>
      <c r="AF34" s="357"/>
      <c r="AG34" s="249"/>
      <c r="AH34" s="357"/>
      <c r="AI34" s="249"/>
      <c r="AJ34" s="357"/>
      <c r="AK34" s="249"/>
      <c r="AL34" s="357"/>
      <c r="AM34" s="249"/>
      <c r="AN34" s="357"/>
      <c r="AO34" s="249"/>
      <c r="AP34" s="357"/>
      <c r="AQ34" s="249"/>
      <c r="AR34" s="357"/>
      <c r="AS34" s="249"/>
      <c r="AT34" s="357"/>
      <c r="AU34" s="249"/>
      <c r="AV34" s="357"/>
      <c r="AW34" s="249"/>
      <c r="AX34" s="357"/>
      <c r="AY34" s="249"/>
      <c r="AZ34" s="357"/>
      <c r="BA34" s="249"/>
      <c r="BB34" s="357"/>
      <c r="BC34" s="249"/>
      <c r="BD34" s="357"/>
      <c r="BE34" s="249"/>
      <c r="BF34" s="357"/>
      <c r="BG34" s="249"/>
      <c r="BH34" s="357"/>
      <c r="BI34" s="249"/>
      <c r="BJ34" s="357"/>
      <c r="BK34" s="249"/>
      <c r="BL34" s="357"/>
      <c r="BM34" s="249"/>
      <c r="BN34" s="357"/>
      <c r="BO34" s="249"/>
      <c r="BP34" s="357"/>
      <c r="BQ34" s="249"/>
      <c r="BR34" s="357"/>
      <c r="BS34" s="249"/>
      <c r="BT34" s="357"/>
      <c r="BU34" s="249"/>
      <c r="BV34" s="357"/>
      <c r="BW34" s="249"/>
      <c r="BX34" s="357"/>
      <c r="BY34" s="249"/>
      <c r="BZ34" s="357"/>
      <c r="CA34" s="249"/>
      <c r="CB34" s="357"/>
      <c r="CC34" s="249"/>
      <c r="CD34" s="357"/>
      <c r="CE34" s="249"/>
      <c r="CF34" s="357"/>
      <c r="CG34" s="249"/>
      <c r="CH34" s="357"/>
      <c r="CI34" s="249"/>
      <c r="CJ34" s="357"/>
      <c r="CK34" s="249"/>
      <c r="CL34" s="357"/>
      <c r="CM34" s="249"/>
      <c r="CN34" s="357"/>
      <c r="CO34" s="249"/>
      <c r="CP34" s="357"/>
      <c r="CQ34" s="249"/>
      <c r="CR34" s="357"/>
      <c r="CS34" s="249"/>
      <c r="CT34" s="357"/>
      <c r="CU34" s="249"/>
      <c r="CV34" s="357"/>
      <c r="CW34" s="249"/>
      <c r="CX34" s="357"/>
      <c r="CY34" s="249"/>
      <c r="CZ34" s="357"/>
      <c r="DA34" s="249"/>
      <c r="DB34" s="357"/>
      <c r="DC34" s="249"/>
      <c r="DD34" s="357"/>
      <c r="DE34" s="249"/>
      <c r="DF34" s="357"/>
      <c r="DG34" s="249"/>
      <c r="DH34" s="357"/>
      <c r="DI34" s="249"/>
      <c r="DJ34" s="357"/>
      <c r="DK34" s="249"/>
      <c r="DL34" s="357"/>
      <c r="DM34" s="249"/>
      <c r="DN34" s="357"/>
      <c r="DO34" s="249"/>
      <c r="DP34" s="357"/>
      <c r="DQ34" s="249"/>
      <c r="DR34" s="357"/>
      <c r="DS34" s="249"/>
      <c r="DT34" s="357"/>
      <c r="DU34" s="249"/>
      <c r="DV34" s="357"/>
      <c r="DW34" s="249"/>
      <c r="DX34" s="357"/>
      <c r="DY34" s="249"/>
      <c r="DZ34" s="357"/>
      <c r="EA34" s="249"/>
      <c r="EB34" s="357"/>
      <c r="EC34" s="249"/>
      <c r="ED34" s="357"/>
      <c r="EE34" s="249"/>
      <c r="EF34" s="357"/>
      <c r="EG34" s="249"/>
      <c r="EH34" s="357"/>
      <c r="EI34" s="249"/>
      <c r="EJ34" s="357"/>
      <c r="EK34" s="249"/>
      <c r="EL34" s="357"/>
      <c r="EM34" s="249"/>
      <c r="EN34" s="357"/>
      <c r="EO34" s="249"/>
      <c r="EP34" s="357"/>
      <c r="EQ34" s="249"/>
      <c r="ER34" s="357"/>
      <c r="ES34" s="249"/>
      <c r="ET34" s="357"/>
      <c r="EU34" s="249"/>
      <c r="EV34" s="357"/>
      <c r="EW34" s="249"/>
      <c r="EX34" s="357"/>
      <c r="EY34" s="249"/>
      <c r="EZ34" s="357"/>
      <c r="FA34" s="249"/>
      <c r="FB34" s="357"/>
      <c r="FC34" s="249"/>
      <c r="FD34" s="357"/>
      <c r="FE34" s="249"/>
      <c r="FF34" s="357"/>
      <c r="FG34" s="249"/>
      <c r="FH34" s="357"/>
      <c r="FI34" s="249"/>
      <c r="FJ34" s="357"/>
      <c r="FK34" s="249"/>
      <c r="FL34" s="357"/>
      <c r="FM34" s="249"/>
      <c r="FN34" s="357"/>
      <c r="FO34" s="249"/>
      <c r="FP34" s="357"/>
      <c r="FQ34" s="249"/>
      <c r="FR34" s="357"/>
      <c r="FS34" s="249"/>
      <c r="FT34" s="357"/>
      <c r="FU34" s="249"/>
      <c r="FV34" s="357"/>
      <c r="FW34" s="249"/>
      <c r="FX34" s="357"/>
      <c r="FY34" s="249"/>
      <c r="FZ34" s="357"/>
      <c r="GA34" s="249"/>
      <c r="GB34" s="357"/>
      <c r="GC34" s="249"/>
      <c r="GD34" s="357"/>
      <c r="GE34" s="249"/>
      <c r="GF34" s="357"/>
      <c r="GG34" s="249"/>
      <c r="GH34" s="357"/>
      <c r="GI34" s="249"/>
      <c r="GJ34" s="357"/>
      <c r="GK34" s="249"/>
      <c r="GL34" s="357"/>
      <c r="GM34" s="249"/>
      <c r="GN34" s="357"/>
      <c r="GO34" s="249"/>
      <c r="GP34" s="357"/>
      <c r="GQ34" s="249"/>
      <c r="GR34" s="357"/>
      <c r="GS34" s="249"/>
      <c r="GT34" s="357"/>
      <c r="GU34" s="249"/>
      <c r="GV34" s="357"/>
      <c r="GW34" s="249"/>
      <c r="GX34" s="357"/>
      <c r="GY34" s="249"/>
      <c r="GZ34" s="357"/>
      <c r="HA34" s="249"/>
      <c r="HB34" s="357"/>
      <c r="HC34" s="249"/>
      <c r="HD34" s="357"/>
      <c r="HE34" s="249"/>
      <c r="HF34" s="357"/>
      <c r="HG34" s="249"/>
      <c r="HH34" s="357"/>
      <c r="HI34" s="249"/>
      <c r="HJ34" s="357"/>
      <c r="HK34" s="249"/>
      <c r="HL34" s="357"/>
      <c r="HM34" s="249"/>
      <c r="HN34" s="357"/>
      <c r="HO34" s="249"/>
      <c r="HP34" s="357"/>
      <c r="HQ34" s="249"/>
      <c r="HR34" s="357"/>
      <c r="HS34" s="249"/>
      <c r="HT34" s="357"/>
      <c r="HU34" s="249"/>
      <c r="HV34" s="357"/>
      <c r="HW34" s="249"/>
      <c r="HX34" s="357"/>
      <c r="HY34" s="249"/>
      <c r="HZ34" s="357"/>
      <c r="IA34" s="249"/>
      <c r="IB34" s="357"/>
      <c r="IC34" s="249"/>
      <c r="ID34" s="357"/>
      <c r="IE34" s="249"/>
      <c r="IF34" s="357"/>
      <c r="IG34" s="249"/>
      <c r="IH34" s="357"/>
      <c r="II34" s="249"/>
      <c r="IJ34" s="357"/>
      <c r="IK34" s="249"/>
      <c r="IL34" s="357"/>
      <c r="IM34" s="249"/>
      <c r="IN34" s="357"/>
      <c r="IO34" s="249"/>
      <c r="IP34" s="357"/>
      <c r="IQ34" s="249"/>
      <c r="IR34" s="357"/>
      <c r="IS34" s="249"/>
      <c r="IT34" s="357"/>
      <c r="IU34" s="249"/>
    </row>
    <row r="35" spans="1:255" s="50" customFormat="1" ht="5.25" customHeight="1" thickTop="1">
      <c r="A35" s="49"/>
      <c r="C35" s="362"/>
      <c r="D35" s="363"/>
      <c r="E35" s="364"/>
      <c r="F35" s="364"/>
      <c r="G35" s="365"/>
      <c r="H35" s="365"/>
      <c r="I35" s="365"/>
      <c r="J35" s="365"/>
      <c r="K35" s="365"/>
      <c r="L35" s="365"/>
      <c r="M35" s="365"/>
      <c r="N35" s="258"/>
      <c r="O35" s="258"/>
      <c r="P35" s="312"/>
      <c r="Q35" s="248"/>
      <c r="R35" s="249"/>
      <c r="S35" s="249"/>
      <c r="T35" s="357"/>
      <c r="U35" s="249"/>
      <c r="V35" s="357"/>
      <c r="W35" s="249"/>
      <c r="X35" s="357"/>
      <c r="Y35" s="249"/>
      <c r="Z35" s="357"/>
      <c r="AA35" s="249"/>
      <c r="AB35" s="357"/>
      <c r="AC35" s="249"/>
      <c r="AD35" s="357"/>
      <c r="AE35" s="249"/>
      <c r="AF35" s="357"/>
      <c r="AG35" s="249"/>
      <c r="AH35" s="357"/>
      <c r="AI35" s="249"/>
      <c r="AJ35" s="357"/>
      <c r="AK35" s="249"/>
      <c r="AL35" s="357"/>
      <c r="AM35" s="249"/>
      <c r="AN35" s="357"/>
      <c r="AO35" s="249"/>
      <c r="AP35" s="357"/>
      <c r="AQ35" s="249"/>
      <c r="AR35" s="357"/>
      <c r="AS35" s="249"/>
      <c r="AT35" s="357"/>
      <c r="AU35" s="249"/>
      <c r="AV35" s="357"/>
      <c r="AW35" s="249"/>
      <c r="AX35" s="357"/>
      <c r="AY35" s="249"/>
      <c r="AZ35" s="357"/>
      <c r="BA35" s="249"/>
      <c r="BB35" s="357"/>
      <c r="BC35" s="249"/>
      <c r="BD35" s="357"/>
      <c r="BE35" s="249"/>
      <c r="BF35" s="357"/>
      <c r="BG35" s="249"/>
      <c r="BH35" s="357"/>
      <c r="BI35" s="249"/>
      <c r="BJ35" s="357"/>
      <c r="BK35" s="249"/>
      <c r="BL35" s="357"/>
      <c r="BM35" s="249"/>
      <c r="BN35" s="357"/>
      <c r="BO35" s="249"/>
      <c r="BP35" s="357"/>
      <c r="BQ35" s="249"/>
      <c r="BR35" s="357"/>
      <c r="BS35" s="249"/>
      <c r="BT35" s="357"/>
      <c r="BU35" s="249"/>
      <c r="BV35" s="357"/>
      <c r="BW35" s="249"/>
      <c r="BX35" s="357"/>
      <c r="BY35" s="249"/>
      <c r="BZ35" s="357"/>
      <c r="CA35" s="249"/>
      <c r="CB35" s="357"/>
      <c r="CC35" s="249"/>
      <c r="CD35" s="357"/>
      <c r="CE35" s="249"/>
      <c r="CF35" s="357"/>
      <c r="CG35" s="249"/>
      <c r="CH35" s="357"/>
      <c r="CI35" s="249"/>
      <c r="CJ35" s="357"/>
      <c r="CK35" s="249"/>
      <c r="CL35" s="357"/>
      <c r="CM35" s="249"/>
      <c r="CN35" s="357"/>
      <c r="CO35" s="249"/>
      <c r="CP35" s="357"/>
      <c r="CQ35" s="249"/>
      <c r="CR35" s="357"/>
      <c r="CS35" s="249"/>
      <c r="CT35" s="357"/>
      <c r="CU35" s="249"/>
      <c r="CV35" s="357"/>
      <c r="CW35" s="249"/>
      <c r="CX35" s="357"/>
      <c r="CY35" s="249"/>
      <c r="CZ35" s="357"/>
      <c r="DA35" s="249"/>
      <c r="DB35" s="357"/>
      <c r="DC35" s="249"/>
      <c r="DD35" s="357"/>
      <c r="DE35" s="249"/>
      <c r="DF35" s="357"/>
      <c r="DG35" s="249"/>
      <c r="DH35" s="357"/>
      <c r="DI35" s="249"/>
      <c r="DJ35" s="357"/>
      <c r="DK35" s="249"/>
      <c r="DL35" s="357"/>
      <c r="DM35" s="249"/>
      <c r="DN35" s="357"/>
      <c r="DO35" s="249"/>
      <c r="DP35" s="357"/>
      <c r="DQ35" s="249"/>
      <c r="DR35" s="357"/>
      <c r="DS35" s="249"/>
      <c r="DT35" s="357"/>
      <c r="DU35" s="249"/>
      <c r="DV35" s="357"/>
      <c r="DW35" s="249"/>
      <c r="DX35" s="357"/>
      <c r="DY35" s="249"/>
      <c r="DZ35" s="357"/>
      <c r="EA35" s="249"/>
      <c r="EB35" s="357"/>
      <c r="EC35" s="249"/>
      <c r="ED35" s="357"/>
      <c r="EE35" s="249"/>
      <c r="EF35" s="357"/>
      <c r="EG35" s="249"/>
      <c r="EH35" s="357"/>
      <c r="EI35" s="249"/>
      <c r="EJ35" s="357"/>
      <c r="EK35" s="249"/>
      <c r="EL35" s="357"/>
      <c r="EM35" s="249"/>
      <c r="EN35" s="357"/>
      <c r="EO35" s="249"/>
      <c r="EP35" s="357"/>
      <c r="EQ35" s="249"/>
      <c r="ER35" s="357"/>
      <c r="ES35" s="249"/>
      <c r="ET35" s="357"/>
      <c r="EU35" s="249"/>
      <c r="EV35" s="357"/>
      <c r="EW35" s="249"/>
      <c r="EX35" s="357"/>
      <c r="EY35" s="249"/>
      <c r="EZ35" s="357"/>
      <c r="FA35" s="249"/>
      <c r="FB35" s="357"/>
      <c r="FC35" s="249"/>
      <c r="FD35" s="357"/>
      <c r="FE35" s="249"/>
      <c r="FF35" s="357"/>
      <c r="FG35" s="249"/>
      <c r="FH35" s="357"/>
      <c r="FI35" s="249"/>
      <c r="FJ35" s="357"/>
      <c r="FK35" s="249"/>
      <c r="FL35" s="357"/>
      <c r="FM35" s="249"/>
      <c r="FN35" s="357"/>
      <c r="FO35" s="249"/>
      <c r="FP35" s="357"/>
      <c r="FQ35" s="249"/>
      <c r="FR35" s="357"/>
      <c r="FS35" s="249"/>
      <c r="FT35" s="357"/>
      <c r="FU35" s="249"/>
      <c r="FV35" s="357"/>
      <c r="FW35" s="249"/>
      <c r="FX35" s="357"/>
      <c r="FY35" s="249"/>
      <c r="FZ35" s="357"/>
      <c r="GA35" s="249"/>
      <c r="GB35" s="357"/>
      <c r="GC35" s="249"/>
      <c r="GD35" s="357"/>
      <c r="GE35" s="249"/>
      <c r="GF35" s="357"/>
      <c r="GG35" s="249"/>
      <c r="GH35" s="357"/>
      <c r="GI35" s="249"/>
      <c r="GJ35" s="357"/>
      <c r="GK35" s="249"/>
      <c r="GL35" s="357"/>
      <c r="GM35" s="249"/>
      <c r="GN35" s="357"/>
      <c r="GO35" s="249"/>
      <c r="GP35" s="357"/>
      <c r="GQ35" s="249"/>
      <c r="GR35" s="357"/>
      <c r="GS35" s="249"/>
      <c r="GT35" s="357"/>
      <c r="GU35" s="249"/>
      <c r="GV35" s="357"/>
      <c r="GW35" s="249"/>
      <c r="GX35" s="357"/>
      <c r="GY35" s="249"/>
      <c r="GZ35" s="357"/>
      <c r="HA35" s="249"/>
      <c r="HB35" s="357"/>
      <c r="HC35" s="249"/>
      <c r="HD35" s="357"/>
      <c r="HE35" s="249"/>
      <c r="HF35" s="357"/>
      <c r="HG35" s="249"/>
      <c r="HH35" s="357"/>
      <c r="HI35" s="249"/>
      <c r="HJ35" s="357"/>
      <c r="HK35" s="249"/>
      <c r="HL35" s="357"/>
      <c r="HM35" s="249"/>
      <c r="HN35" s="357"/>
      <c r="HO35" s="249"/>
      <c r="HP35" s="357"/>
      <c r="HQ35" s="249"/>
      <c r="HR35" s="357"/>
      <c r="HS35" s="249"/>
      <c r="HT35" s="357"/>
      <c r="HU35" s="249"/>
      <c r="HV35" s="357"/>
      <c r="HW35" s="249"/>
      <c r="HX35" s="357"/>
      <c r="HY35" s="249"/>
      <c r="HZ35" s="357"/>
      <c r="IA35" s="249"/>
      <c r="IB35" s="357"/>
      <c r="IC35" s="249"/>
      <c r="ID35" s="357"/>
      <c r="IE35" s="249"/>
      <c r="IF35" s="357"/>
      <c r="IG35" s="249"/>
      <c r="IH35" s="357"/>
      <c r="II35" s="249"/>
      <c r="IJ35" s="357"/>
      <c r="IK35" s="249"/>
      <c r="IL35" s="357"/>
      <c r="IM35" s="249"/>
      <c r="IN35" s="357"/>
      <c r="IO35" s="249"/>
      <c r="IP35" s="357"/>
      <c r="IQ35" s="249"/>
      <c r="IR35" s="357"/>
      <c r="IS35" s="249"/>
      <c r="IT35" s="357"/>
      <c r="IU35" s="249"/>
    </row>
    <row r="36" spans="1:255" s="50" customFormat="1" ht="26.25" customHeight="1" thickBot="1">
      <c r="A36" s="49"/>
      <c r="C36" s="143"/>
      <c r="D36" s="755" t="s">
        <v>180</v>
      </c>
      <c r="E36" s="755"/>
      <c r="F36" s="755"/>
      <c r="G36" s="755"/>
      <c r="H36" s="755"/>
      <c r="I36" s="755"/>
      <c r="J36" s="755"/>
      <c r="K36" s="755"/>
      <c r="L36" s="755" t="s">
        <v>181</v>
      </c>
      <c r="M36" s="755"/>
      <c r="N36" s="756" t="s">
        <v>182</v>
      </c>
      <c r="O36" s="757"/>
      <c r="P36" s="52"/>
      <c r="Q36" s="248"/>
      <c r="R36" s="249"/>
      <c r="S36" s="249"/>
      <c r="T36" s="357"/>
      <c r="U36" s="249"/>
      <c r="V36" s="357"/>
      <c r="W36" s="249"/>
      <c r="X36" s="357"/>
      <c r="Y36" s="249"/>
      <c r="Z36" s="357"/>
      <c r="AA36" s="249"/>
      <c r="AB36" s="357"/>
      <c r="AC36" s="249"/>
      <c r="AD36" s="357"/>
      <c r="AE36" s="249"/>
      <c r="AF36" s="357"/>
      <c r="AG36" s="249"/>
      <c r="AH36" s="357"/>
      <c r="AI36" s="249"/>
      <c r="AJ36" s="357"/>
      <c r="AK36" s="249"/>
      <c r="AL36" s="357"/>
      <c r="AM36" s="249"/>
      <c r="AN36" s="357"/>
      <c r="AO36" s="249"/>
      <c r="AP36" s="357"/>
      <c r="AQ36" s="249"/>
      <c r="AR36" s="357"/>
      <c r="AS36" s="249"/>
      <c r="AT36" s="357"/>
      <c r="AU36" s="249"/>
      <c r="AV36" s="357"/>
      <c r="AW36" s="249"/>
      <c r="AX36" s="357"/>
      <c r="AY36" s="249"/>
      <c r="AZ36" s="357"/>
      <c r="BA36" s="249"/>
      <c r="BB36" s="357"/>
      <c r="BC36" s="249"/>
      <c r="BD36" s="357"/>
      <c r="BE36" s="249"/>
      <c r="BF36" s="357"/>
      <c r="BG36" s="249"/>
      <c r="BH36" s="357"/>
      <c r="BI36" s="249"/>
      <c r="BJ36" s="357"/>
      <c r="BK36" s="249"/>
      <c r="BL36" s="357"/>
      <c r="BM36" s="249"/>
      <c r="BN36" s="357"/>
      <c r="BO36" s="249"/>
      <c r="BP36" s="357"/>
      <c r="BQ36" s="249"/>
      <c r="BR36" s="357"/>
      <c r="BS36" s="249"/>
      <c r="BT36" s="357"/>
      <c r="BU36" s="249"/>
      <c r="BV36" s="357"/>
      <c r="BW36" s="249"/>
      <c r="BX36" s="357"/>
      <c r="BY36" s="249"/>
      <c r="BZ36" s="357"/>
      <c r="CA36" s="249"/>
      <c r="CB36" s="357"/>
      <c r="CC36" s="249"/>
      <c r="CD36" s="357"/>
      <c r="CE36" s="249"/>
      <c r="CF36" s="357"/>
      <c r="CG36" s="249"/>
      <c r="CH36" s="357"/>
      <c r="CI36" s="249"/>
      <c r="CJ36" s="357"/>
      <c r="CK36" s="249"/>
      <c r="CL36" s="357"/>
      <c r="CM36" s="249"/>
      <c r="CN36" s="357"/>
      <c r="CO36" s="249"/>
      <c r="CP36" s="357"/>
      <c r="CQ36" s="249"/>
      <c r="CR36" s="357"/>
      <c r="CS36" s="249"/>
      <c r="CT36" s="357"/>
      <c r="CU36" s="249"/>
      <c r="CV36" s="357"/>
      <c r="CW36" s="249"/>
      <c r="CX36" s="357"/>
      <c r="CY36" s="249"/>
      <c r="CZ36" s="357"/>
      <c r="DA36" s="249"/>
      <c r="DB36" s="357"/>
      <c r="DC36" s="249"/>
      <c r="DD36" s="357"/>
      <c r="DE36" s="249"/>
      <c r="DF36" s="357"/>
      <c r="DG36" s="249"/>
      <c r="DH36" s="357"/>
      <c r="DI36" s="249"/>
      <c r="DJ36" s="357"/>
      <c r="DK36" s="249"/>
      <c r="DL36" s="357"/>
      <c r="DM36" s="249"/>
      <c r="DN36" s="357"/>
      <c r="DO36" s="249"/>
      <c r="DP36" s="357"/>
      <c r="DQ36" s="249"/>
      <c r="DR36" s="357"/>
      <c r="DS36" s="249"/>
      <c r="DT36" s="357"/>
      <c r="DU36" s="249"/>
      <c r="DV36" s="357"/>
      <c r="DW36" s="249"/>
      <c r="DX36" s="357"/>
      <c r="DY36" s="249"/>
      <c r="DZ36" s="357"/>
      <c r="EA36" s="249"/>
      <c r="EB36" s="357"/>
      <c r="EC36" s="249"/>
      <c r="ED36" s="357"/>
      <c r="EE36" s="249"/>
      <c r="EF36" s="357"/>
      <c r="EG36" s="249"/>
      <c r="EH36" s="357"/>
      <c r="EI36" s="249"/>
      <c r="EJ36" s="357"/>
      <c r="EK36" s="249"/>
      <c r="EL36" s="357"/>
      <c r="EM36" s="249"/>
      <c r="EN36" s="357"/>
      <c r="EO36" s="249"/>
      <c r="EP36" s="357"/>
      <c r="EQ36" s="249"/>
      <c r="ER36" s="357"/>
      <c r="ES36" s="249"/>
      <c r="ET36" s="357"/>
      <c r="EU36" s="249"/>
      <c r="EV36" s="357"/>
      <c r="EW36" s="249"/>
      <c r="EX36" s="357"/>
      <c r="EY36" s="249"/>
      <c r="EZ36" s="357"/>
      <c r="FA36" s="249"/>
      <c r="FB36" s="357"/>
      <c r="FC36" s="249"/>
      <c r="FD36" s="357"/>
      <c r="FE36" s="249"/>
      <c r="FF36" s="357"/>
      <c r="FG36" s="249"/>
      <c r="FH36" s="357"/>
      <c r="FI36" s="249"/>
      <c r="FJ36" s="357"/>
      <c r="FK36" s="249"/>
      <c r="FL36" s="357"/>
      <c r="FM36" s="249"/>
      <c r="FN36" s="357"/>
      <c r="FO36" s="249"/>
      <c r="FP36" s="357"/>
      <c r="FQ36" s="249"/>
      <c r="FR36" s="357"/>
      <c r="FS36" s="249"/>
      <c r="FT36" s="357"/>
      <c r="FU36" s="249"/>
      <c r="FV36" s="357"/>
      <c r="FW36" s="249"/>
      <c r="FX36" s="357"/>
      <c r="FY36" s="249"/>
      <c r="FZ36" s="357"/>
      <c r="GA36" s="249"/>
      <c r="GB36" s="357"/>
      <c r="GC36" s="249"/>
      <c r="GD36" s="357"/>
      <c r="GE36" s="249"/>
      <c r="GF36" s="357"/>
      <c r="GG36" s="249"/>
      <c r="GH36" s="357"/>
      <c r="GI36" s="249"/>
      <c r="GJ36" s="357"/>
      <c r="GK36" s="249"/>
      <c r="GL36" s="357"/>
      <c r="GM36" s="249"/>
      <c r="GN36" s="357"/>
      <c r="GO36" s="249"/>
      <c r="GP36" s="357"/>
      <c r="GQ36" s="249"/>
      <c r="GR36" s="357"/>
      <c r="GS36" s="249"/>
      <c r="GT36" s="357"/>
      <c r="GU36" s="249"/>
      <c r="GV36" s="357"/>
      <c r="GW36" s="249"/>
      <c r="GX36" s="357"/>
      <c r="GY36" s="249"/>
      <c r="GZ36" s="357"/>
      <c r="HA36" s="249"/>
      <c r="HB36" s="357"/>
      <c r="HC36" s="249"/>
      <c r="HD36" s="357"/>
      <c r="HE36" s="249"/>
      <c r="HF36" s="357"/>
      <c r="HG36" s="249"/>
      <c r="HH36" s="357"/>
      <c r="HI36" s="249"/>
      <c r="HJ36" s="357"/>
      <c r="HK36" s="249"/>
      <c r="HL36" s="357"/>
      <c r="HM36" s="249"/>
      <c r="HN36" s="357"/>
      <c r="HO36" s="249"/>
      <c r="HP36" s="357"/>
      <c r="HQ36" s="249"/>
      <c r="HR36" s="357"/>
      <c r="HS36" s="249"/>
      <c r="HT36" s="357"/>
      <c r="HU36" s="249"/>
      <c r="HV36" s="357"/>
      <c r="HW36" s="249"/>
      <c r="HX36" s="357"/>
      <c r="HY36" s="249"/>
      <c r="HZ36" s="357"/>
      <c r="IA36" s="249"/>
      <c r="IB36" s="357"/>
      <c r="IC36" s="249"/>
      <c r="ID36" s="357"/>
      <c r="IE36" s="249"/>
      <c r="IF36" s="357"/>
      <c r="IG36" s="249"/>
      <c r="IH36" s="357"/>
      <c r="II36" s="249"/>
      <c r="IJ36" s="357"/>
      <c r="IK36" s="249"/>
      <c r="IL36" s="357"/>
      <c r="IM36" s="249"/>
      <c r="IN36" s="357"/>
      <c r="IO36" s="249"/>
      <c r="IP36" s="357"/>
      <c r="IQ36" s="249"/>
      <c r="IR36" s="357"/>
      <c r="IS36" s="249"/>
      <c r="IT36" s="357"/>
      <c r="IU36" s="249"/>
    </row>
    <row r="37" spans="1:255" s="50" customFormat="1" ht="16.5" customHeight="1" thickTop="1">
      <c r="A37" s="49"/>
      <c r="C37" s="143"/>
      <c r="D37" s="758" t="s">
        <v>183</v>
      </c>
      <c r="E37" s="758"/>
      <c r="F37" s="758"/>
      <c r="G37" s="758"/>
      <c r="H37" s="758"/>
      <c r="I37" s="758"/>
      <c r="J37" s="758"/>
      <c r="K37" s="758"/>
      <c r="L37" s="758" t="s">
        <v>184</v>
      </c>
      <c r="M37" s="758"/>
      <c r="N37" s="759">
        <v>508</v>
      </c>
      <c r="O37" s="760"/>
      <c r="P37" s="52"/>
      <c r="Q37" s="248"/>
      <c r="R37" s="249"/>
      <c r="S37" s="249"/>
      <c r="T37" s="357"/>
      <c r="U37" s="249"/>
      <c r="V37" s="357"/>
      <c r="W37" s="249"/>
      <c r="X37" s="357"/>
      <c r="Y37" s="249"/>
      <c r="Z37" s="357"/>
      <c r="AA37" s="249"/>
      <c r="AB37" s="357"/>
      <c r="AC37" s="249"/>
      <c r="AD37" s="357"/>
      <c r="AE37" s="249"/>
      <c r="AF37" s="357"/>
      <c r="AG37" s="249"/>
      <c r="AH37" s="357"/>
      <c r="AI37" s="249"/>
      <c r="AJ37" s="357"/>
      <c r="AK37" s="249"/>
      <c r="AL37" s="357"/>
      <c r="AM37" s="249"/>
      <c r="AN37" s="357"/>
      <c r="AO37" s="249"/>
      <c r="AP37" s="357"/>
      <c r="AQ37" s="249"/>
      <c r="AR37" s="357"/>
      <c r="AS37" s="249"/>
      <c r="AT37" s="357"/>
      <c r="AU37" s="249"/>
      <c r="AV37" s="357"/>
      <c r="AW37" s="249"/>
      <c r="AX37" s="357"/>
      <c r="AY37" s="249"/>
      <c r="AZ37" s="357"/>
      <c r="BA37" s="249"/>
      <c r="BB37" s="357"/>
      <c r="BC37" s="249"/>
      <c r="BD37" s="357"/>
      <c r="BE37" s="249"/>
      <c r="BF37" s="357"/>
      <c r="BG37" s="249"/>
      <c r="BH37" s="357"/>
      <c r="BI37" s="249"/>
      <c r="BJ37" s="357"/>
      <c r="BK37" s="249"/>
      <c r="BL37" s="357"/>
      <c r="BM37" s="249"/>
      <c r="BN37" s="357"/>
      <c r="BO37" s="249"/>
      <c r="BP37" s="357"/>
      <c r="BQ37" s="249"/>
      <c r="BR37" s="357"/>
      <c r="BS37" s="249"/>
      <c r="BT37" s="357"/>
      <c r="BU37" s="249"/>
      <c r="BV37" s="357"/>
      <c r="BW37" s="249"/>
      <c r="BX37" s="357"/>
      <c r="BY37" s="249"/>
      <c r="BZ37" s="357"/>
      <c r="CA37" s="249"/>
      <c r="CB37" s="357"/>
      <c r="CC37" s="249"/>
      <c r="CD37" s="357"/>
      <c r="CE37" s="249"/>
      <c r="CF37" s="357"/>
      <c r="CG37" s="249"/>
      <c r="CH37" s="357"/>
      <c r="CI37" s="249"/>
      <c r="CJ37" s="357"/>
      <c r="CK37" s="249"/>
      <c r="CL37" s="357"/>
      <c r="CM37" s="249"/>
      <c r="CN37" s="357"/>
      <c r="CO37" s="249"/>
      <c r="CP37" s="357"/>
      <c r="CQ37" s="249"/>
      <c r="CR37" s="357"/>
      <c r="CS37" s="249"/>
      <c r="CT37" s="357"/>
      <c r="CU37" s="249"/>
      <c r="CV37" s="357"/>
      <c r="CW37" s="249"/>
      <c r="CX37" s="357"/>
      <c r="CY37" s="249"/>
      <c r="CZ37" s="357"/>
      <c r="DA37" s="249"/>
      <c r="DB37" s="357"/>
      <c r="DC37" s="249"/>
      <c r="DD37" s="357"/>
      <c r="DE37" s="249"/>
      <c r="DF37" s="357"/>
      <c r="DG37" s="249"/>
      <c r="DH37" s="357"/>
      <c r="DI37" s="249"/>
      <c r="DJ37" s="357"/>
      <c r="DK37" s="249"/>
      <c r="DL37" s="357"/>
      <c r="DM37" s="249"/>
      <c r="DN37" s="357"/>
      <c r="DO37" s="249"/>
      <c r="DP37" s="357"/>
      <c r="DQ37" s="249"/>
      <c r="DR37" s="357"/>
      <c r="DS37" s="249"/>
      <c r="DT37" s="357"/>
      <c r="DU37" s="249"/>
      <c r="DV37" s="357"/>
      <c r="DW37" s="249"/>
      <c r="DX37" s="357"/>
      <c r="DY37" s="249"/>
      <c r="DZ37" s="357"/>
      <c r="EA37" s="249"/>
      <c r="EB37" s="357"/>
      <c r="EC37" s="249"/>
      <c r="ED37" s="357"/>
      <c r="EE37" s="249"/>
      <c r="EF37" s="357"/>
      <c r="EG37" s="249"/>
      <c r="EH37" s="357"/>
      <c r="EI37" s="249"/>
      <c r="EJ37" s="357"/>
      <c r="EK37" s="249"/>
      <c r="EL37" s="357"/>
      <c r="EM37" s="249"/>
      <c r="EN37" s="357"/>
      <c r="EO37" s="249"/>
      <c r="EP37" s="357"/>
      <c r="EQ37" s="249"/>
      <c r="ER37" s="357"/>
      <c r="ES37" s="249"/>
      <c r="ET37" s="357"/>
      <c r="EU37" s="249"/>
      <c r="EV37" s="357"/>
      <c r="EW37" s="249"/>
      <c r="EX37" s="357"/>
      <c r="EY37" s="249"/>
      <c r="EZ37" s="357"/>
      <c r="FA37" s="249"/>
      <c r="FB37" s="357"/>
      <c r="FC37" s="249"/>
      <c r="FD37" s="357"/>
      <c r="FE37" s="249"/>
      <c r="FF37" s="357"/>
      <c r="FG37" s="249"/>
      <c r="FH37" s="357"/>
      <c r="FI37" s="249"/>
      <c r="FJ37" s="357"/>
      <c r="FK37" s="249"/>
      <c r="FL37" s="357"/>
      <c r="FM37" s="249"/>
      <c r="FN37" s="357"/>
      <c r="FO37" s="249"/>
      <c r="FP37" s="357"/>
      <c r="FQ37" s="249"/>
      <c r="FR37" s="357"/>
      <c r="FS37" s="249"/>
      <c r="FT37" s="357"/>
      <c r="FU37" s="249"/>
      <c r="FV37" s="357"/>
      <c r="FW37" s="249"/>
      <c r="FX37" s="357"/>
      <c r="FY37" s="249"/>
      <c r="FZ37" s="357"/>
      <c r="GA37" s="249"/>
      <c r="GB37" s="357"/>
      <c r="GC37" s="249"/>
      <c r="GD37" s="357"/>
      <c r="GE37" s="249"/>
      <c r="GF37" s="357"/>
      <c r="GG37" s="249"/>
      <c r="GH37" s="357"/>
      <c r="GI37" s="249"/>
      <c r="GJ37" s="357"/>
      <c r="GK37" s="249"/>
      <c r="GL37" s="357"/>
      <c r="GM37" s="249"/>
      <c r="GN37" s="357"/>
      <c r="GO37" s="249"/>
      <c r="GP37" s="357"/>
      <c r="GQ37" s="249"/>
      <c r="GR37" s="357"/>
      <c r="GS37" s="249"/>
      <c r="GT37" s="357"/>
      <c r="GU37" s="249"/>
      <c r="GV37" s="357"/>
      <c r="GW37" s="249"/>
      <c r="GX37" s="357"/>
      <c r="GY37" s="249"/>
      <c r="GZ37" s="357"/>
      <c r="HA37" s="249"/>
      <c r="HB37" s="357"/>
      <c r="HC37" s="249"/>
      <c r="HD37" s="357"/>
      <c r="HE37" s="249"/>
      <c r="HF37" s="357"/>
      <c r="HG37" s="249"/>
      <c r="HH37" s="357"/>
      <c r="HI37" s="249"/>
      <c r="HJ37" s="357"/>
      <c r="HK37" s="249"/>
      <c r="HL37" s="357"/>
      <c r="HM37" s="249"/>
      <c r="HN37" s="357"/>
      <c r="HO37" s="249"/>
      <c r="HP37" s="357"/>
      <c r="HQ37" s="249"/>
      <c r="HR37" s="357"/>
      <c r="HS37" s="249"/>
      <c r="HT37" s="357"/>
      <c r="HU37" s="249"/>
      <c r="HV37" s="357"/>
      <c r="HW37" s="249"/>
      <c r="HX37" s="357"/>
      <c r="HY37" s="249"/>
      <c r="HZ37" s="357"/>
      <c r="IA37" s="249"/>
      <c r="IB37" s="357"/>
      <c r="IC37" s="249"/>
      <c r="ID37" s="357"/>
      <c r="IE37" s="249"/>
      <c r="IF37" s="357"/>
      <c r="IG37" s="249"/>
      <c r="IH37" s="357"/>
      <c r="II37" s="249"/>
      <c r="IJ37" s="357"/>
      <c r="IK37" s="249"/>
      <c r="IL37" s="357"/>
      <c r="IM37" s="249"/>
      <c r="IN37" s="357"/>
      <c r="IO37" s="249"/>
      <c r="IP37" s="357"/>
      <c r="IQ37" s="249"/>
      <c r="IR37" s="357"/>
      <c r="IS37" s="249"/>
      <c r="IT37" s="357"/>
      <c r="IU37" s="249"/>
    </row>
    <row r="38" spans="1:255" s="50" customFormat="1" ht="16.5" customHeight="1">
      <c r="A38" s="49"/>
      <c r="C38" s="143"/>
      <c r="D38" s="761" t="s">
        <v>310</v>
      </c>
      <c r="E38" s="761"/>
      <c r="F38" s="761"/>
      <c r="G38" s="761"/>
      <c r="H38" s="761"/>
      <c r="I38" s="761"/>
      <c r="J38" s="761"/>
      <c r="K38" s="761"/>
      <c r="L38" s="761" t="s">
        <v>186</v>
      </c>
      <c r="M38" s="761"/>
      <c r="N38" s="762">
        <v>1830</v>
      </c>
      <c r="O38" s="763"/>
      <c r="P38" s="52"/>
      <c r="Q38" s="248"/>
      <c r="R38" s="249"/>
      <c r="S38" s="249"/>
      <c r="T38" s="357"/>
      <c r="U38" s="249"/>
      <c r="V38" s="357"/>
      <c r="W38" s="249"/>
      <c r="X38" s="357"/>
      <c r="Y38" s="249"/>
      <c r="Z38" s="357"/>
      <c r="AA38" s="249"/>
      <c r="AB38" s="357"/>
      <c r="AC38" s="249"/>
      <c r="AD38" s="357"/>
      <c r="AE38" s="249"/>
      <c r="AF38" s="357"/>
      <c r="AG38" s="249"/>
      <c r="AH38" s="357"/>
      <c r="AI38" s="249"/>
      <c r="AJ38" s="357"/>
      <c r="AK38" s="249"/>
      <c r="AL38" s="357"/>
      <c r="AM38" s="249"/>
      <c r="AN38" s="357"/>
      <c r="AO38" s="249"/>
      <c r="AP38" s="357"/>
      <c r="AQ38" s="249"/>
      <c r="AR38" s="357"/>
      <c r="AS38" s="249"/>
      <c r="AT38" s="357"/>
      <c r="AU38" s="249"/>
      <c r="AV38" s="357"/>
      <c r="AW38" s="249"/>
      <c r="AX38" s="357"/>
      <c r="AY38" s="249"/>
      <c r="AZ38" s="357"/>
      <c r="BA38" s="249"/>
      <c r="BB38" s="357"/>
      <c r="BC38" s="249"/>
      <c r="BD38" s="357"/>
      <c r="BE38" s="249"/>
      <c r="BF38" s="357"/>
      <c r="BG38" s="249"/>
      <c r="BH38" s="357"/>
      <c r="BI38" s="249"/>
      <c r="BJ38" s="357"/>
      <c r="BK38" s="249"/>
      <c r="BL38" s="357"/>
      <c r="BM38" s="249"/>
      <c r="BN38" s="357"/>
      <c r="BO38" s="249"/>
      <c r="BP38" s="357"/>
      <c r="BQ38" s="249"/>
      <c r="BR38" s="357"/>
      <c r="BS38" s="249"/>
      <c r="BT38" s="357"/>
      <c r="BU38" s="249"/>
      <c r="BV38" s="357"/>
      <c r="BW38" s="249"/>
      <c r="BX38" s="357"/>
      <c r="BY38" s="249"/>
      <c r="BZ38" s="357"/>
      <c r="CA38" s="249"/>
      <c r="CB38" s="357"/>
      <c r="CC38" s="249"/>
      <c r="CD38" s="357"/>
      <c r="CE38" s="249"/>
      <c r="CF38" s="357"/>
      <c r="CG38" s="249"/>
      <c r="CH38" s="357"/>
      <c r="CI38" s="249"/>
      <c r="CJ38" s="357"/>
      <c r="CK38" s="249"/>
      <c r="CL38" s="357"/>
      <c r="CM38" s="249"/>
      <c r="CN38" s="357"/>
      <c r="CO38" s="249"/>
      <c r="CP38" s="357"/>
      <c r="CQ38" s="249"/>
      <c r="CR38" s="357"/>
      <c r="CS38" s="249"/>
      <c r="CT38" s="357"/>
      <c r="CU38" s="249"/>
      <c r="CV38" s="357"/>
      <c r="CW38" s="249"/>
      <c r="CX38" s="357"/>
      <c r="CY38" s="249"/>
      <c r="CZ38" s="357"/>
      <c r="DA38" s="249"/>
      <c r="DB38" s="357"/>
      <c r="DC38" s="249"/>
      <c r="DD38" s="357"/>
      <c r="DE38" s="249"/>
      <c r="DF38" s="357"/>
      <c r="DG38" s="249"/>
      <c r="DH38" s="357"/>
      <c r="DI38" s="249"/>
      <c r="DJ38" s="357"/>
      <c r="DK38" s="249"/>
      <c r="DL38" s="357"/>
      <c r="DM38" s="249"/>
      <c r="DN38" s="357"/>
      <c r="DO38" s="249"/>
      <c r="DP38" s="357"/>
      <c r="DQ38" s="249"/>
      <c r="DR38" s="357"/>
      <c r="DS38" s="249"/>
      <c r="DT38" s="357"/>
      <c r="DU38" s="249"/>
      <c r="DV38" s="357"/>
      <c r="DW38" s="249"/>
      <c r="DX38" s="357"/>
      <c r="DY38" s="249"/>
      <c r="DZ38" s="357"/>
      <c r="EA38" s="249"/>
      <c r="EB38" s="357"/>
      <c r="EC38" s="249"/>
      <c r="ED38" s="357"/>
      <c r="EE38" s="249"/>
      <c r="EF38" s="357"/>
      <c r="EG38" s="249"/>
      <c r="EH38" s="357"/>
      <c r="EI38" s="249"/>
      <c r="EJ38" s="357"/>
      <c r="EK38" s="249"/>
      <c r="EL38" s="357"/>
      <c r="EM38" s="249"/>
      <c r="EN38" s="357"/>
      <c r="EO38" s="249"/>
      <c r="EP38" s="357"/>
      <c r="EQ38" s="249"/>
      <c r="ER38" s="357"/>
      <c r="ES38" s="249"/>
      <c r="ET38" s="357"/>
      <c r="EU38" s="249"/>
      <c r="EV38" s="357"/>
      <c r="EW38" s="249"/>
      <c r="EX38" s="357"/>
      <c r="EY38" s="249"/>
      <c r="EZ38" s="357"/>
      <c r="FA38" s="249"/>
      <c r="FB38" s="357"/>
      <c r="FC38" s="249"/>
      <c r="FD38" s="357"/>
      <c r="FE38" s="249"/>
      <c r="FF38" s="357"/>
      <c r="FG38" s="249"/>
      <c r="FH38" s="357"/>
      <c r="FI38" s="249"/>
      <c r="FJ38" s="357"/>
      <c r="FK38" s="249"/>
      <c r="FL38" s="357"/>
      <c r="FM38" s="249"/>
      <c r="FN38" s="357"/>
      <c r="FO38" s="249"/>
      <c r="FP38" s="357"/>
      <c r="FQ38" s="249"/>
      <c r="FR38" s="357"/>
      <c r="FS38" s="249"/>
      <c r="FT38" s="357"/>
      <c r="FU38" s="249"/>
      <c r="FV38" s="357"/>
      <c r="FW38" s="249"/>
      <c r="FX38" s="357"/>
      <c r="FY38" s="249"/>
      <c r="FZ38" s="357"/>
      <c r="GA38" s="249"/>
      <c r="GB38" s="357"/>
      <c r="GC38" s="249"/>
      <c r="GD38" s="357"/>
      <c r="GE38" s="249"/>
      <c r="GF38" s="357"/>
      <c r="GG38" s="249"/>
      <c r="GH38" s="357"/>
      <c r="GI38" s="249"/>
      <c r="GJ38" s="357"/>
      <c r="GK38" s="249"/>
      <c r="GL38" s="357"/>
      <c r="GM38" s="249"/>
      <c r="GN38" s="357"/>
      <c r="GO38" s="249"/>
      <c r="GP38" s="357"/>
      <c r="GQ38" s="249"/>
      <c r="GR38" s="357"/>
      <c r="GS38" s="249"/>
      <c r="GT38" s="357"/>
      <c r="GU38" s="249"/>
      <c r="GV38" s="357"/>
      <c r="GW38" s="249"/>
      <c r="GX38" s="357"/>
      <c r="GY38" s="249"/>
      <c r="GZ38" s="357"/>
      <c r="HA38" s="249"/>
      <c r="HB38" s="357"/>
      <c r="HC38" s="249"/>
      <c r="HD38" s="357"/>
      <c r="HE38" s="249"/>
      <c r="HF38" s="357"/>
      <c r="HG38" s="249"/>
      <c r="HH38" s="357"/>
      <c r="HI38" s="249"/>
      <c r="HJ38" s="357"/>
      <c r="HK38" s="249"/>
      <c r="HL38" s="357"/>
      <c r="HM38" s="249"/>
      <c r="HN38" s="357"/>
      <c r="HO38" s="249"/>
      <c r="HP38" s="357"/>
      <c r="HQ38" s="249"/>
      <c r="HR38" s="357"/>
      <c r="HS38" s="249"/>
      <c r="HT38" s="357"/>
      <c r="HU38" s="249"/>
      <c r="HV38" s="357"/>
      <c r="HW38" s="249"/>
      <c r="HX38" s="357"/>
      <c r="HY38" s="249"/>
      <c r="HZ38" s="357"/>
      <c r="IA38" s="249"/>
      <c r="IB38" s="357"/>
      <c r="IC38" s="249"/>
      <c r="ID38" s="357"/>
      <c r="IE38" s="249"/>
      <c r="IF38" s="357"/>
      <c r="IG38" s="249"/>
      <c r="IH38" s="357"/>
      <c r="II38" s="249"/>
      <c r="IJ38" s="357"/>
      <c r="IK38" s="249"/>
      <c r="IL38" s="357"/>
      <c r="IM38" s="249"/>
      <c r="IN38" s="357"/>
      <c r="IO38" s="249"/>
      <c r="IP38" s="357"/>
      <c r="IQ38" s="249"/>
      <c r="IR38" s="357"/>
      <c r="IS38" s="249"/>
      <c r="IT38" s="357"/>
      <c r="IU38" s="249"/>
    </row>
    <row r="39" spans="1:255" s="50" customFormat="1" ht="16.5" customHeight="1">
      <c r="A39" s="49"/>
      <c r="C39" s="143"/>
      <c r="D39" s="761" t="s">
        <v>187</v>
      </c>
      <c r="E39" s="761"/>
      <c r="F39" s="761"/>
      <c r="G39" s="761"/>
      <c r="H39" s="761"/>
      <c r="I39" s="761"/>
      <c r="J39" s="761"/>
      <c r="K39" s="761"/>
      <c r="L39" s="761" t="s">
        <v>188</v>
      </c>
      <c r="M39" s="761"/>
      <c r="N39" s="762">
        <v>13.17</v>
      </c>
      <c r="O39" s="763"/>
      <c r="P39" s="52"/>
      <c r="Q39" s="248"/>
      <c r="R39" s="249"/>
      <c r="S39" s="249"/>
      <c r="T39" s="357"/>
      <c r="U39" s="249"/>
      <c r="V39" s="357"/>
      <c r="W39" s="249"/>
      <c r="X39" s="357"/>
      <c r="Y39" s="249"/>
      <c r="Z39" s="357"/>
      <c r="AA39" s="249"/>
      <c r="AB39" s="357"/>
      <c r="AC39" s="249"/>
      <c r="AD39" s="357"/>
      <c r="AE39" s="249"/>
      <c r="AF39" s="357"/>
      <c r="AG39" s="249"/>
      <c r="AH39" s="357"/>
      <c r="AI39" s="249"/>
      <c r="AJ39" s="357"/>
      <c r="AK39" s="249"/>
      <c r="AL39" s="357"/>
      <c r="AM39" s="249"/>
      <c r="AN39" s="357"/>
      <c r="AO39" s="249"/>
      <c r="AP39" s="357"/>
      <c r="AQ39" s="249"/>
      <c r="AR39" s="357"/>
      <c r="AS39" s="249"/>
      <c r="AT39" s="357"/>
      <c r="AU39" s="249"/>
      <c r="AV39" s="357"/>
      <c r="AW39" s="249"/>
      <c r="AX39" s="357"/>
      <c r="AY39" s="249"/>
      <c r="AZ39" s="357"/>
      <c r="BA39" s="249"/>
      <c r="BB39" s="357"/>
      <c r="BC39" s="249"/>
      <c r="BD39" s="357"/>
      <c r="BE39" s="249"/>
      <c r="BF39" s="357"/>
      <c r="BG39" s="249"/>
      <c r="BH39" s="357"/>
      <c r="BI39" s="249"/>
      <c r="BJ39" s="357"/>
      <c r="BK39" s="249"/>
      <c r="BL39" s="357"/>
      <c r="BM39" s="249"/>
      <c r="BN39" s="357"/>
      <c r="BO39" s="249"/>
      <c r="BP39" s="357"/>
      <c r="BQ39" s="249"/>
      <c r="BR39" s="357"/>
      <c r="BS39" s="249"/>
      <c r="BT39" s="357"/>
      <c r="BU39" s="249"/>
      <c r="BV39" s="357"/>
      <c r="BW39" s="249"/>
      <c r="BX39" s="357"/>
      <c r="BY39" s="249"/>
      <c r="BZ39" s="357"/>
      <c r="CA39" s="249"/>
      <c r="CB39" s="357"/>
      <c r="CC39" s="249"/>
      <c r="CD39" s="357"/>
      <c r="CE39" s="249"/>
      <c r="CF39" s="357"/>
      <c r="CG39" s="249"/>
      <c r="CH39" s="357"/>
      <c r="CI39" s="249"/>
      <c r="CJ39" s="357"/>
      <c r="CK39" s="249"/>
      <c r="CL39" s="357"/>
      <c r="CM39" s="249"/>
      <c r="CN39" s="357"/>
      <c r="CO39" s="249"/>
      <c r="CP39" s="357"/>
      <c r="CQ39" s="249"/>
      <c r="CR39" s="357"/>
      <c r="CS39" s="249"/>
      <c r="CT39" s="357"/>
      <c r="CU39" s="249"/>
      <c r="CV39" s="357"/>
      <c r="CW39" s="249"/>
      <c r="CX39" s="357"/>
      <c r="CY39" s="249"/>
      <c r="CZ39" s="357"/>
      <c r="DA39" s="249"/>
      <c r="DB39" s="357"/>
      <c r="DC39" s="249"/>
      <c r="DD39" s="357"/>
      <c r="DE39" s="249"/>
      <c r="DF39" s="357"/>
      <c r="DG39" s="249"/>
      <c r="DH39" s="357"/>
      <c r="DI39" s="249"/>
      <c r="DJ39" s="357"/>
      <c r="DK39" s="249"/>
      <c r="DL39" s="357"/>
      <c r="DM39" s="249"/>
      <c r="DN39" s="357"/>
      <c r="DO39" s="249"/>
      <c r="DP39" s="357"/>
      <c r="DQ39" s="249"/>
      <c r="DR39" s="357"/>
      <c r="DS39" s="249"/>
      <c r="DT39" s="357"/>
      <c r="DU39" s="249"/>
      <c r="DV39" s="357"/>
      <c r="DW39" s="249"/>
      <c r="DX39" s="357"/>
      <c r="DY39" s="249"/>
      <c r="DZ39" s="357"/>
      <c r="EA39" s="249"/>
      <c r="EB39" s="357"/>
      <c r="EC39" s="249"/>
      <c r="ED39" s="357"/>
      <c r="EE39" s="249"/>
      <c r="EF39" s="357"/>
      <c r="EG39" s="249"/>
      <c r="EH39" s="357"/>
      <c r="EI39" s="249"/>
      <c r="EJ39" s="357"/>
      <c r="EK39" s="249"/>
      <c r="EL39" s="357"/>
      <c r="EM39" s="249"/>
      <c r="EN39" s="357"/>
      <c r="EO39" s="249"/>
      <c r="EP39" s="357"/>
      <c r="EQ39" s="249"/>
      <c r="ER39" s="357"/>
      <c r="ES39" s="249"/>
      <c r="ET39" s="357"/>
      <c r="EU39" s="249"/>
      <c r="EV39" s="357"/>
      <c r="EW39" s="249"/>
      <c r="EX39" s="357"/>
      <c r="EY39" s="249"/>
      <c r="EZ39" s="357"/>
      <c r="FA39" s="249"/>
      <c r="FB39" s="357"/>
      <c r="FC39" s="249"/>
      <c r="FD39" s="357"/>
      <c r="FE39" s="249"/>
      <c r="FF39" s="357"/>
      <c r="FG39" s="249"/>
      <c r="FH39" s="357"/>
      <c r="FI39" s="249"/>
      <c r="FJ39" s="357"/>
      <c r="FK39" s="249"/>
      <c r="FL39" s="357"/>
      <c r="FM39" s="249"/>
      <c r="FN39" s="357"/>
      <c r="FO39" s="249"/>
      <c r="FP39" s="357"/>
      <c r="FQ39" s="249"/>
      <c r="FR39" s="357"/>
      <c r="FS39" s="249"/>
      <c r="FT39" s="357"/>
      <c r="FU39" s="249"/>
      <c r="FV39" s="357"/>
      <c r="FW39" s="249"/>
      <c r="FX39" s="357"/>
      <c r="FY39" s="249"/>
      <c r="FZ39" s="357"/>
      <c r="GA39" s="249"/>
      <c r="GB39" s="357"/>
      <c r="GC39" s="249"/>
      <c r="GD39" s="357"/>
      <c r="GE39" s="249"/>
      <c r="GF39" s="357"/>
      <c r="GG39" s="249"/>
      <c r="GH39" s="357"/>
      <c r="GI39" s="249"/>
      <c r="GJ39" s="357"/>
      <c r="GK39" s="249"/>
      <c r="GL39" s="357"/>
      <c r="GM39" s="249"/>
      <c r="GN39" s="357"/>
      <c r="GO39" s="249"/>
      <c r="GP39" s="357"/>
      <c r="GQ39" s="249"/>
      <c r="GR39" s="357"/>
      <c r="GS39" s="249"/>
      <c r="GT39" s="357"/>
      <c r="GU39" s="249"/>
      <c r="GV39" s="357"/>
      <c r="GW39" s="249"/>
      <c r="GX39" s="357"/>
      <c r="GY39" s="249"/>
      <c r="GZ39" s="357"/>
      <c r="HA39" s="249"/>
      <c r="HB39" s="357"/>
      <c r="HC39" s="249"/>
      <c r="HD39" s="357"/>
      <c r="HE39" s="249"/>
      <c r="HF39" s="357"/>
      <c r="HG39" s="249"/>
      <c r="HH39" s="357"/>
      <c r="HI39" s="249"/>
      <c r="HJ39" s="357"/>
      <c r="HK39" s="249"/>
      <c r="HL39" s="357"/>
      <c r="HM39" s="249"/>
      <c r="HN39" s="357"/>
      <c r="HO39" s="249"/>
      <c r="HP39" s="357"/>
      <c r="HQ39" s="249"/>
      <c r="HR39" s="357"/>
      <c r="HS39" s="249"/>
      <c r="HT39" s="357"/>
      <c r="HU39" s="249"/>
      <c r="HV39" s="357"/>
      <c r="HW39" s="249"/>
      <c r="HX39" s="357"/>
      <c r="HY39" s="249"/>
      <c r="HZ39" s="357"/>
      <c r="IA39" s="249"/>
      <c r="IB39" s="357"/>
      <c r="IC39" s="249"/>
      <c r="ID39" s="357"/>
      <c r="IE39" s="249"/>
      <c r="IF39" s="357"/>
      <c r="IG39" s="249"/>
      <c r="IH39" s="357"/>
      <c r="II39" s="249"/>
      <c r="IJ39" s="357"/>
      <c r="IK39" s="249"/>
      <c r="IL39" s="357"/>
      <c r="IM39" s="249"/>
      <c r="IN39" s="357"/>
      <c r="IO39" s="249"/>
      <c r="IP39" s="357"/>
      <c r="IQ39" s="249"/>
      <c r="IR39" s="357"/>
      <c r="IS39" s="249"/>
      <c r="IT39" s="357"/>
      <c r="IU39" s="249"/>
    </row>
    <row r="40" spans="1:255" s="50" customFormat="1" ht="16.5" customHeight="1">
      <c r="A40" s="49"/>
      <c r="C40" s="143"/>
      <c r="D40" s="761" t="s">
        <v>189</v>
      </c>
      <c r="E40" s="761"/>
      <c r="F40" s="761"/>
      <c r="G40" s="761"/>
      <c r="H40" s="761"/>
      <c r="I40" s="761"/>
      <c r="J40" s="761"/>
      <c r="K40" s="761"/>
      <c r="L40" s="761" t="s">
        <v>190</v>
      </c>
      <c r="M40" s="761"/>
      <c r="N40" s="762">
        <v>76.5</v>
      </c>
      <c r="O40" s="763"/>
      <c r="P40" s="52"/>
      <c r="Q40" s="248"/>
      <c r="R40" s="249"/>
      <c r="S40" s="249"/>
      <c r="T40" s="357"/>
      <c r="U40" s="249"/>
      <c r="V40" s="357"/>
      <c r="W40" s="249"/>
      <c r="X40" s="357"/>
      <c r="Y40" s="249"/>
      <c r="Z40" s="357"/>
      <c r="AA40" s="249"/>
      <c r="AB40" s="357"/>
      <c r="AC40" s="249"/>
      <c r="AD40" s="357"/>
      <c r="AE40" s="249"/>
      <c r="AF40" s="357"/>
      <c r="AG40" s="249"/>
      <c r="AH40" s="357"/>
      <c r="AI40" s="249"/>
      <c r="AJ40" s="357"/>
      <c r="AK40" s="249"/>
      <c r="AL40" s="357"/>
      <c r="AM40" s="249"/>
      <c r="AN40" s="357"/>
      <c r="AO40" s="249"/>
      <c r="AP40" s="357"/>
      <c r="AQ40" s="249"/>
      <c r="AR40" s="357"/>
      <c r="AS40" s="249"/>
      <c r="AT40" s="357"/>
      <c r="AU40" s="249"/>
      <c r="AV40" s="357"/>
      <c r="AW40" s="249"/>
      <c r="AX40" s="357"/>
      <c r="AY40" s="249"/>
      <c r="AZ40" s="357"/>
      <c r="BA40" s="249"/>
      <c r="BB40" s="357"/>
      <c r="BC40" s="249"/>
      <c r="BD40" s="357"/>
      <c r="BE40" s="249"/>
      <c r="BF40" s="357"/>
      <c r="BG40" s="249"/>
      <c r="BH40" s="357"/>
      <c r="BI40" s="249"/>
      <c r="BJ40" s="357"/>
      <c r="BK40" s="249"/>
      <c r="BL40" s="357"/>
      <c r="BM40" s="249"/>
      <c r="BN40" s="357"/>
      <c r="BO40" s="249"/>
      <c r="BP40" s="357"/>
      <c r="BQ40" s="249"/>
      <c r="BR40" s="357"/>
      <c r="BS40" s="249"/>
      <c r="BT40" s="357"/>
      <c r="BU40" s="249"/>
      <c r="BV40" s="357"/>
      <c r="BW40" s="249"/>
      <c r="BX40" s="357"/>
      <c r="BY40" s="249"/>
      <c r="BZ40" s="357"/>
      <c r="CA40" s="249"/>
      <c r="CB40" s="357"/>
      <c r="CC40" s="249"/>
      <c r="CD40" s="357"/>
      <c r="CE40" s="249"/>
      <c r="CF40" s="357"/>
      <c r="CG40" s="249"/>
      <c r="CH40" s="357"/>
      <c r="CI40" s="249"/>
      <c r="CJ40" s="357"/>
      <c r="CK40" s="249"/>
      <c r="CL40" s="357"/>
      <c r="CM40" s="249"/>
      <c r="CN40" s="357"/>
      <c r="CO40" s="249"/>
      <c r="CP40" s="357"/>
      <c r="CQ40" s="249"/>
      <c r="CR40" s="357"/>
      <c r="CS40" s="249"/>
      <c r="CT40" s="357"/>
      <c r="CU40" s="249"/>
      <c r="CV40" s="357"/>
      <c r="CW40" s="249"/>
      <c r="CX40" s="357"/>
      <c r="CY40" s="249"/>
      <c r="CZ40" s="357"/>
      <c r="DA40" s="249"/>
      <c r="DB40" s="357"/>
      <c r="DC40" s="249"/>
      <c r="DD40" s="357"/>
      <c r="DE40" s="249"/>
      <c r="DF40" s="357"/>
      <c r="DG40" s="249"/>
      <c r="DH40" s="357"/>
      <c r="DI40" s="249"/>
      <c r="DJ40" s="357"/>
      <c r="DK40" s="249"/>
      <c r="DL40" s="357"/>
      <c r="DM40" s="249"/>
      <c r="DN40" s="357"/>
      <c r="DO40" s="249"/>
      <c r="DP40" s="357"/>
      <c r="DQ40" s="249"/>
      <c r="DR40" s="357"/>
      <c r="DS40" s="249"/>
      <c r="DT40" s="357"/>
      <c r="DU40" s="249"/>
      <c r="DV40" s="357"/>
      <c r="DW40" s="249"/>
      <c r="DX40" s="357"/>
      <c r="DY40" s="249"/>
      <c r="DZ40" s="357"/>
      <c r="EA40" s="249"/>
      <c r="EB40" s="357"/>
      <c r="EC40" s="249"/>
      <c r="ED40" s="357"/>
      <c r="EE40" s="249"/>
      <c r="EF40" s="357"/>
      <c r="EG40" s="249"/>
      <c r="EH40" s="357"/>
      <c r="EI40" s="249"/>
      <c r="EJ40" s="357"/>
      <c r="EK40" s="249"/>
      <c r="EL40" s="357"/>
      <c r="EM40" s="249"/>
      <c r="EN40" s="357"/>
      <c r="EO40" s="249"/>
      <c r="EP40" s="357"/>
      <c r="EQ40" s="249"/>
      <c r="ER40" s="357"/>
      <c r="ES40" s="249"/>
      <c r="ET40" s="357"/>
      <c r="EU40" s="249"/>
      <c r="EV40" s="357"/>
      <c r="EW40" s="249"/>
      <c r="EX40" s="357"/>
      <c r="EY40" s="249"/>
      <c r="EZ40" s="357"/>
      <c r="FA40" s="249"/>
      <c r="FB40" s="357"/>
      <c r="FC40" s="249"/>
      <c r="FD40" s="357"/>
      <c r="FE40" s="249"/>
      <c r="FF40" s="357"/>
      <c r="FG40" s="249"/>
      <c r="FH40" s="357"/>
      <c r="FI40" s="249"/>
      <c r="FJ40" s="357"/>
      <c r="FK40" s="249"/>
      <c r="FL40" s="357"/>
      <c r="FM40" s="249"/>
      <c r="FN40" s="357"/>
      <c r="FO40" s="249"/>
      <c r="FP40" s="357"/>
      <c r="FQ40" s="249"/>
      <c r="FR40" s="357"/>
      <c r="FS40" s="249"/>
      <c r="FT40" s="357"/>
      <c r="FU40" s="249"/>
      <c r="FV40" s="357"/>
      <c r="FW40" s="249"/>
      <c r="FX40" s="357"/>
      <c r="FY40" s="249"/>
      <c r="FZ40" s="357"/>
      <c r="GA40" s="249"/>
      <c r="GB40" s="357"/>
      <c r="GC40" s="249"/>
      <c r="GD40" s="357"/>
      <c r="GE40" s="249"/>
      <c r="GF40" s="357"/>
      <c r="GG40" s="249"/>
      <c r="GH40" s="357"/>
      <c r="GI40" s="249"/>
      <c r="GJ40" s="357"/>
      <c r="GK40" s="249"/>
      <c r="GL40" s="357"/>
      <c r="GM40" s="249"/>
      <c r="GN40" s="357"/>
      <c r="GO40" s="249"/>
      <c r="GP40" s="357"/>
      <c r="GQ40" s="249"/>
      <c r="GR40" s="357"/>
      <c r="GS40" s="249"/>
      <c r="GT40" s="357"/>
      <c r="GU40" s="249"/>
      <c r="GV40" s="357"/>
      <c r="GW40" s="249"/>
      <c r="GX40" s="357"/>
      <c r="GY40" s="249"/>
      <c r="GZ40" s="357"/>
      <c r="HA40" s="249"/>
      <c r="HB40" s="357"/>
      <c r="HC40" s="249"/>
      <c r="HD40" s="357"/>
      <c r="HE40" s="249"/>
      <c r="HF40" s="357"/>
      <c r="HG40" s="249"/>
      <c r="HH40" s="357"/>
      <c r="HI40" s="249"/>
      <c r="HJ40" s="357"/>
      <c r="HK40" s="249"/>
      <c r="HL40" s="357"/>
      <c r="HM40" s="249"/>
      <c r="HN40" s="357"/>
      <c r="HO40" s="249"/>
      <c r="HP40" s="357"/>
      <c r="HQ40" s="249"/>
      <c r="HR40" s="357"/>
      <c r="HS40" s="249"/>
      <c r="HT40" s="357"/>
      <c r="HU40" s="249"/>
      <c r="HV40" s="357"/>
      <c r="HW40" s="249"/>
      <c r="HX40" s="357"/>
      <c r="HY40" s="249"/>
      <c r="HZ40" s="357"/>
      <c r="IA40" s="249"/>
      <c r="IB40" s="357"/>
      <c r="IC40" s="249"/>
      <c r="ID40" s="357"/>
      <c r="IE40" s="249"/>
      <c r="IF40" s="357"/>
      <c r="IG40" s="249"/>
      <c r="IH40" s="357"/>
      <c r="II40" s="249"/>
      <c r="IJ40" s="357"/>
      <c r="IK40" s="249"/>
      <c r="IL40" s="357"/>
      <c r="IM40" s="249"/>
      <c r="IN40" s="357"/>
      <c r="IO40" s="249"/>
      <c r="IP40" s="357"/>
      <c r="IQ40" s="249"/>
      <c r="IR40" s="357"/>
      <c r="IS40" s="249"/>
      <c r="IT40" s="357"/>
      <c r="IU40" s="249"/>
    </row>
    <row r="41" spans="1:255" s="50" customFormat="1" ht="16.5" customHeight="1">
      <c r="A41" s="49"/>
      <c r="C41" s="143"/>
      <c r="D41" s="761" t="s">
        <v>191</v>
      </c>
      <c r="E41" s="761"/>
      <c r="F41" s="761"/>
      <c r="G41" s="761"/>
      <c r="H41" s="761"/>
      <c r="I41" s="761"/>
      <c r="J41" s="761"/>
      <c r="K41" s="761"/>
      <c r="L41" s="761" t="s">
        <v>192</v>
      </c>
      <c r="M41" s="761"/>
      <c r="N41" s="762">
        <v>770.1</v>
      </c>
      <c r="O41" s="763"/>
      <c r="P41" s="52"/>
      <c r="Q41" s="248"/>
      <c r="R41" s="249"/>
      <c r="S41" s="249"/>
      <c r="T41" s="357"/>
      <c r="U41" s="249"/>
      <c r="V41" s="357"/>
      <c r="W41" s="249"/>
      <c r="X41" s="357"/>
      <c r="Y41" s="249"/>
      <c r="Z41" s="357"/>
      <c r="AA41" s="249"/>
      <c r="AB41" s="357"/>
      <c r="AC41" s="249"/>
      <c r="AD41" s="357"/>
      <c r="AE41" s="249"/>
      <c r="AF41" s="357"/>
      <c r="AG41" s="249"/>
      <c r="AH41" s="357"/>
      <c r="AI41" s="249"/>
      <c r="AJ41" s="357"/>
      <c r="AK41" s="249"/>
      <c r="AL41" s="357"/>
      <c r="AM41" s="249"/>
      <c r="AN41" s="357"/>
      <c r="AO41" s="249"/>
      <c r="AP41" s="357"/>
      <c r="AQ41" s="249"/>
      <c r="AR41" s="357"/>
      <c r="AS41" s="249"/>
      <c r="AT41" s="357"/>
      <c r="AU41" s="249"/>
      <c r="AV41" s="357"/>
      <c r="AW41" s="249"/>
      <c r="AX41" s="357"/>
      <c r="AY41" s="249"/>
      <c r="AZ41" s="357"/>
      <c r="BA41" s="249"/>
      <c r="BB41" s="357"/>
      <c r="BC41" s="249"/>
      <c r="BD41" s="357"/>
      <c r="BE41" s="249"/>
      <c r="BF41" s="357"/>
      <c r="BG41" s="249"/>
      <c r="BH41" s="357"/>
      <c r="BI41" s="249"/>
      <c r="BJ41" s="357"/>
      <c r="BK41" s="249"/>
      <c r="BL41" s="357"/>
      <c r="BM41" s="249"/>
      <c r="BN41" s="357"/>
      <c r="BO41" s="249"/>
      <c r="BP41" s="357"/>
      <c r="BQ41" s="249"/>
      <c r="BR41" s="357"/>
      <c r="BS41" s="249"/>
      <c r="BT41" s="357"/>
      <c r="BU41" s="249"/>
      <c r="BV41" s="357"/>
      <c r="BW41" s="249"/>
      <c r="BX41" s="357"/>
      <c r="BY41" s="249"/>
      <c r="BZ41" s="357"/>
      <c r="CA41" s="249"/>
      <c r="CB41" s="357"/>
      <c r="CC41" s="249"/>
      <c r="CD41" s="357"/>
      <c r="CE41" s="249"/>
      <c r="CF41" s="357"/>
      <c r="CG41" s="249"/>
      <c r="CH41" s="357"/>
      <c r="CI41" s="249"/>
      <c r="CJ41" s="357"/>
      <c r="CK41" s="249"/>
      <c r="CL41" s="357"/>
      <c r="CM41" s="249"/>
      <c r="CN41" s="357"/>
      <c r="CO41" s="249"/>
      <c r="CP41" s="357"/>
      <c r="CQ41" s="249"/>
      <c r="CR41" s="357"/>
      <c r="CS41" s="249"/>
      <c r="CT41" s="357"/>
      <c r="CU41" s="249"/>
      <c r="CV41" s="357"/>
      <c r="CW41" s="249"/>
      <c r="CX41" s="357"/>
      <c r="CY41" s="249"/>
      <c r="CZ41" s="357"/>
      <c r="DA41" s="249"/>
      <c r="DB41" s="357"/>
      <c r="DC41" s="249"/>
      <c r="DD41" s="357"/>
      <c r="DE41" s="249"/>
      <c r="DF41" s="357"/>
      <c r="DG41" s="249"/>
      <c r="DH41" s="357"/>
      <c r="DI41" s="249"/>
      <c r="DJ41" s="357"/>
      <c r="DK41" s="249"/>
      <c r="DL41" s="357"/>
      <c r="DM41" s="249"/>
      <c r="DN41" s="357"/>
      <c r="DO41" s="249"/>
      <c r="DP41" s="357"/>
      <c r="DQ41" s="249"/>
      <c r="DR41" s="357"/>
      <c r="DS41" s="249"/>
      <c r="DT41" s="357"/>
      <c r="DU41" s="249"/>
      <c r="DV41" s="357"/>
      <c r="DW41" s="249"/>
      <c r="DX41" s="357"/>
      <c r="DY41" s="249"/>
      <c r="DZ41" s="357"/>
      <c r="EA41" s="249"/>
      <c r="EB41" s="357"/>
      <c r="EC41" s="249"/>
      <c r="ED41" s="357"/>
      <c r="EE41" s="249"/>
      <c r="EF41" s="357"/>
      <c r="EG41" s="249"/>
      <c r="EH41" s="357"/>
      <c r="EI41" s="249"/>
      <c r="EJ41" s="357"/>
      <c r="EK41" s="249"/>
      <c r="EL41" s="357"/>
      <c r="EM41" s="249"/>
      <c r="EN41" s="357"/>
      <c r="EO41" s="249"/>
      <c r="EP41" s="357"/>
      <c r="EQ41" s="249"/>
      <c r="ER41" s="357"/>
      <c r="ES41" s="249"/>
      <c r="ET41" s="357"/>
      <c r="EU41" s="249"/>
      <c r="EV41" s="357"/>
      <c r="EW41" s="249"/>
      <c r="EX41" s="357"/>
      <c r="EY41" s="249"/>
      <c r="EZ41" s="357"/>
      <c r="FA41" s="249"/>
      <c r="FB41" s="357"/>
      <c r="FC41" s="249"/>
      <c r="FD41" s="357"/>
      <c r="FE41" s="249"/>
      <c r="FF41" s="357"/>
      <c r="FG41" s="249"/>
      <c r="FH41" s="357"/>
      <c r="FI41" s="249"/>
      <c r="FJ41" s="357"/>
      <c r="FK41" s="249"/>
      <c r="FL41" s="357"/>
      <c r="FM41" s="249"/>
      <c r="FN41" s="357"/>
      <c r="FO41" s="249"/>
      <c r="FP41" s="357"/>
      <c r="FQ41" s="249"/>
      <c r="FR41" s="357"/>
      <c r="FS41" s="249"/>
      <c r="FT41" s="357"/>
      <c r="FU41" s="249"/>
      <c r="FV41" s="357"/>
      <c r="FW41" s="249"/>
      <c r="FX41" s="357"/>
      <c r="FY41" s="249"/>
      <c r="FZ41" s="357"/>
      <c r="GA41" s="249"/>
      <c r="GB41" s="357"/>
      <c r="GC41" s="249"/>
      <c r="GD41" s="357"/>
      <c r="GE41" s="249"/>
      <c r="GF41" s="357"/>
      <c r="GG41" s="249"/>
      <c r="GH41" s="357"/>
      <c r="GI41" s="249"/>
      <c r="GJ41" s="357"/>
      <c r="GK41" s="249"/>
      <c r="GL41" s="357"/>
      <c r="GM41" s="249"/>
      <c r="GN41" s="357"/>
      <c r="GO41" s="249"/>
      <c r="GP41" s="357"/>
      <c r="GQ41" s="249"/>
      <c r="GR41" s="357"/>
      <c r="GS41" s="249"/>
      <c r="GT41" s="357"/>
      <c r="GU41" s="249"/>
      <c r="GV41" s="357"/>
      <c r="GW41" s="249"/>
      <c r="GX41" s="357"/>
      <c r="GY41" s="249"/>
      <c r="GZ41" s="357"/>
      <c r="HA41" s="249"/>
      <c r="HB41" s="357"/>
      <c r="HC41" s="249"/>
      <c r="HD41" s="357"/>
      <c r="HE41" s="249"/>
      <c r="HF41" s="357"/>
      <c r="HG41" s="249"/>
      <c r="HH41" s="357"/>
      <c r="HI41" s="249"/>
      <c r="HJ41" s="357"/>
      <c r="HK41" s="249"/>
      <c r="HL41" s="357"/>
      <c r="HM41" s="249"/>
      <c r="HN41" s="357"/>
      <c r="HO41" s="249"/>
      <c r="HP41" s="357"/>
      <c r="HQ41" s="249"/>
      <c r="HR41" s="357"/>
      <c r="HS41" s="249"/>
      <c r="HT41" s="357"/>
      <c r="HU41" s="249"/>
      <c r="HV41" s="357"/>
      <c r="HW41" s="249"/>
      <c r="HX41" s="357"/>
      <c r="HY41" s="249"/>
      <c r="HZ41" s="357"/>
      <c r="IA41" s="249"/>
      <c r="IB41" s="357"/>
      <c r="IC41" s="249"/>
      <c r="ID41" s="357"/>
      <c r="IE41" s="249"/>
      <c r="IF41" s="357"/>
      <c r="IG41" s="249"/>
      <c r="IH41" s="357"/>
      <c r="II41" s="249"/>
      <c r="IJ41" s="357"/>
      <c r="IK41" s="249"/>
      <c r="IL41" s="357"/>
      <c r="IM41" s="249"/>
      <c r="IN41" s="357"/>
      <c r="IO41" s="249"/>
      <c r="IP41" s="357"/>
      <c r="IQ41" s="249"/>
      <c r="IR41" s="357"/>
      <c r="IS41" s="249"/>
      <c r="IT41" s="357"/>
      <c r="IU41" s="249"/>
    </row>
    <row r="42" spans="1:255" s="50" customFormat="1" ht="5.25" customHeight="1" thickBot="1">
      <c r="A42" s="49"/>
      <c r="C42" s="366"/>
      <c r="D42" s="367"/>
      <c r="E42" s="360"/>
      <c r="F42" s="360"/>
      <c r="G42" s="368"/>
      <c r="H42" s="368"/>
      <c r="I42" s="368"/>
      <c r="J42" s="368"/>
      <c r="K42" s="368"/>
      <c r="L42" s="368"/>
      <c r="M42" s="368"/>
      <c r="N42" s="117"/>
      <c r="O42" s="117"/>
      <c r="P42" s="346"/>
      <c r="Q42" s="248"/>
      <c r="R42" s="249"/>
      <c r="S42" s="249"/>
      <c r="T42" s="357"/>
      <c r="U42" s="249"/>
      <c r="V42" s="357"/>
      <c r="W42" s="249"/>
      <c r="X42" s="357"/>
      <c r="Y42" s="249"/>
      <c r="Z42" s="357"/>
      <c r="AA42" s="249"/>
      <c r="AB42" s="357"/>
      <c r="AC42" s="249"/>
      <c r="AD42" s="357"/>
      <c r="AE42" s="249"/>
      <c r="AF42" s="357"/>
      <c r="AG42" s="249"/>
      <c r="AH42" s="357"/>
      <c r="AI42" s="249"/>
      <c r="AJ42" s="357"/>
      <c r="AK42" s="249"/>
      <c r="AL42" s="357"/>
      <c r="AM42" s="249"/>
      <c r="AN42" s="357"/>
      <c r="AO42" s="249"/>
      <c r="AP42" s="357"/>
      <c r="AQ42" s="249"/>
      <c r="AR42" s="357"/>
      <c r="AS42" s="249"/>
      <c r="AT42" s="357"/>
      <c r="AU42" s="249"/>
      <c r="AV42" s="357"/>
      <c r="AW42" s="249"/>
      <c r="AX42" s="357"/>
      <c r="AY42" s="249"/>
      <c r="AZ42" s="357"/>
      <c r="BA42" s="249"/>
      <c r="BB42" s="357"/>
      <c r="BC42" s="249"/>
      <c r="BD42" s="357"/>
      <c r="BE42" s="249"/>
      <c r="BF42" s="357"/>
      <c r="BG42" s="249"/>
      <c r="BH42" s="357"/>
      <c r="BI42" s="249"/>
      <c r="BJ42" s="357"/>
      <c r="BK42" s="249"/>
      <c r="BL42" s="357"/>
      <c r="BM42" s="249"/>
      <c r="BN42" s="357"/>
      <c r="BO42" s="249"/>
      <c r="BP42" s="357"/>
      <c r="BQ42" s="249"/>
      <c r="BR42" s="357"/>
      <c r="BS42" s="249"/>
      <c r="BT42" s="357"/>
      <c r="BU42" s="249"/>
      <c r="BV42" s="357"/>
      <c r="BW42" s="249"/>
      <c r="BX42" s="357"/>
      <c r="BY42" s="249"/>
      <c r="BZ42" s="357"/>
      <c r="CA42" s="249"/>
      <c r="CB42" s="357"/>
      <c r="CC42" s="249"/>
      <c r="CD42" s="357"/>
      <c r="CE42" s="249"/>
      <c r="CF42" s="357"/>
      <c r="CG42" s="249"/>
      <c r="CH42" s="357"/>
      <c r="CI42" s="249"/>
      <c r="CJ42" s="357"/>
      <c r="CK42" s="249"/>
      <c r="CL42" s="357"/>
      <c r="CM42" s="249"/>
      <c r="CN42" s="357"/>
      <c r="CO42" s="249"/>
      <c r="CP42" s="357"/>
      <c r="CQ42" s="249"/>
      <c r="CR42" s="357"/>
      <c r="CS42" s="249"/>
      <c r="CT42" s="357"/>
      <c r="CU42" s="249"/>
      <c r="CV42" s="357"/>
      <c r="CW42" s="249"/>
      <c r="CX42" s="357"/>
      <c r="CY42" s="249"/>
      <c r="CZ42" s="357"/>
      <c r="DA42" s="249"/>
      <c r="DB42" s="357"/>
      <c r="DC42" s="249"/>
      <c r="DD42" s="357"/>
      <c r="DE42" s="249"/>
      <c r="DF42" s="357"/>
      <c r="DG42" s="249"/>
      <c r="DH42" s="357"/>
      <c r="DI42" s="249"/>
      <c r="DJ42" s="357"/>
      <c r="DK42" s="249"/>
      <c r="DL42" s="357"/>
      <c r="DM42" s="249"/>
      <c r="DN42" s="357"/>
      <c r="DO42" s="249"/>
      <c r="DP42" s="357"/>
      <c r="DQ42" s="249"/>
      <c r="DR42" s="357"/>
      <c r="DS42" s="249"/>
      <c r="DT42" s="357"/>
      <c r="DU42" s="249"/>
      <c r="DV42" s="357"/>
      <c r="DW42" s="249"/>
      <c r="DX42" s="357"/>
      <c r="DY42" s="249"/>
      <c r="DZ42" s="357"/>
      <c r="EA42" s="249"/>
      <c r="EB42" s="357"/>
      <c r="EC42" s="249"/>
      <c r="ED42" s="357"/>
      <c r="EE42" s="249"/>
      <c r="EF42" s="357"/>
      <c r="EG42" s="249"/>
      <c r="EH42" s="357"/>
      <c r="EI42" s="249"/>
      <c r="EJ42" s="357"/>
      <c r="EK42" s="249"/>
      <c r="EL42" s="357"/>
      <c r="EM42" s="249"/>
      <c r="EN42" s="357"/>
      <c r="EO42" s="249"/>
      <c r="EP42" s="357"/>
      <c r="EQ42" s="249"/>
      <c r="ER42" s="357"/>
      <c r="ES42" s="249"/>
      <c r="ET42" s="357"/>
      <c r="EU42" s="249"/>
      <c r="EV42" s="357"/>
      <c r="EW42" s="249"/>
      <c r="EX42" s="357"/>
      <c r="EY42" s="249"/>
      <c r="EZ42" s="357"/>
      <c r="FA42" s="249"/>
      <c r="FB42" s="357"/>
      <c r="FC42" s="249"/>
      <c r="FD42" s="357"/>
      <c r="FE42" s="249"/>
      <c r="FF42" s="357"/>
      <c r="FG42" s="249"/>
      <c r="FH42" s="357"/>
      <c r="FI42" s="249"/>
      <c r="FJ42" s="357"/>
      <c r="FK42" s="249"/>
      <c r="FL42" s="357"/>
      <c r="FM42" s="249"/>
      <c r="FN42" s="357"/>
      <c r="FO42" s="249"/>
      <c r="FP42" s="357"/>
      <c r="FQ42" s="249"/>
      <c r="FR42" s="357"/>
      <c r="FS42" s="249"/>
      <c r="FT42" s="357"/>
      <c r="FU42" s="249"/>
      <c r="FV42" s="357"/>
      <c r="FW42" s="249"/>
      <c r="FX42" s="357"/>
      <c r="FY42" s="249"/>
      <c r="FZ42" s="357"/>
      <c r="GA42" s="249"/>
      <c r="GB42" s="357"/>
      <c r="GC42" s="249"/>
      <c r="GD42" s="357"/>
      <c r="GE42" s="249"/>
      <c r="GF42" s="357"/>
      <c r="GG42" s="249"/>
      <c r="GH42" s="357"/>
      <c r="GI42" s="249"/>
      <c r="GJ42" s="357"/>
      <c r="GK42" s="249"/>
      <c r="GL42" s="357"/>
      <c r="GM42" s="249"/>
      <c r="GN42" s="357"/>
      <c r="GO42" s="249"/>
      <c r="GP42" s="357"/>
      <c r="GQ42" s="249"/>
      <c r="GR42" s="357"/>
      <c r="GS42" s="249"/>
      <c r="GT42" s="357"/>
      <c r="GU42" s="249"/>
      <c r="GV42" s="357"/>
      <c r="GW42" s="249"/>
      <c r="GX42" s="357"/>
      <c r="GY42" s="249"/>
      <c r="GZ42" s="357"/>
      <c r="HA42" s="249"/>
      <c r="HB42" s="357"/>
      <c r="HC42" s="249"/>
      <c r="HD42" s="357"/>
      <c r="HE42" s="249"/>
      <c r="HF42" s="357"/>
      <c r="HG42" s="249"/>
      <c r="HH42" s="357"/>
      <c r="HI42" s="249"/>
      <c r="HJ42" s="357"/>
      <c r="HK42" s="249"/>
      <c r="HL42" s="357"/>
      <c r="HM42" s="249"/>
      <c r="HN42" s="357"/>
      <c r="HO42" s="249"/>
      <c r="HP42" s="357"/>
      <c r="HQ42" s="249"/>
      <c r="HR42" s="357"/>
      <c r="HS42" s="249"/>
      <c r="HT42" s="357"/>
      <c r="HU42" s="249"/>
      <c r="HV42" s="357"/>
      <c r="HW42" s="249"/>
      <c r="HX42" s="357"/>
      <c r="HY42" s="249"/>
      <c r="HZ42" s="357"/>
      <c r="IA42" s="249"/>
      <c r="IB42" s="357"/>
      <c r="IC42" s="249"/>
      <c r="ID42" s="357"/>
      <c r="IE42" s="249"/>
      <c r="IF42" s="357"/>
      <c r="IG42" s="249"/>
      <c r="IH42" s="357"/>
      <c r="II42" s="249"/>
      <c r="IJ42" s="357"/>
      <c r="IK42" s="249"/>
      <c r="IL42" s="357"/>
      <c r="IM42" s="249"/>
      <c r="IN42" s="357"/>
      <c r="IO42" s="249"/>
      <c r="IP42" s="357"/>
      <c r="IQ42" s="249"/>
      <c r="IR42" s="357"/>
      <c r="IS42" s="249"/>
      <c r="IT42" s="357"/>
      <c r="IU42" s="249"/>
    </row>
    <row r="43" spans="1:18" s="250" customFormat="1" ht="6" customHeight="1" thickTop="1">
      <c r="A43" s="241"/>
      <c r="B43" s="242"/>
      <c r="C43" s="243"/>
      <c r="D43" s="243"/>
      <c r="E43" s="243"/>
      <c r="F43" s="245"/>
      <c r="G43" s="243"/>
      <c r="H43" s="243"/>
      <c r="I43" s="243"/>
      <c r="J43" s="243"/>
      <c r="K43" s="243"/>
      <c r="L43" s="243"/>
      <c r="M43" s="243"/>
      <c r="N43" s="243"/>
      <c r="O43" s="243"/>
      <c r="P43" s="242"/>
      <c r="Q43" s="248"/>
      <c r="R43" s="249"/>
    </row>
    <row r="44" spans="1:18" s="250" customFormat="1" ht="12.75" customHeight="1" hidden="1">
      <c r="A44" s="241"/>
      <c r="B44" s="242"/>
      <c r="C44" s="369" t="s">
        <v>193</v>
      </c>
      <c r="D44" s="370"/>
      <c r="E44" s="370"/>
      <c r="F44" s="371"/>
      <c r="G44" s="370"/>
      <c r="H44" s="370"/>
      <c r="I44" s="370"/>
      <c r="J44" s="370"/>
      <c r="K44" s="370"/>
      <c r="L44" s="370"/>
      <c r="M44" s="370"/>
      <c r="N44" s="370"/>
      <c r="O44" s="370"/>
      <c r="P44" s="242"/>
      <c r="Q44" s="248"/>
      <c r="R44" s="249"/>
    </row>
    <row r="45" spans="1:18" s="250" customFormat="1" ht="12.75" customHeight="1" hidden="1">
      <c r="A45" s="241"/>
      <c r="B45" s="242"/>
      <c r="C45" s="372" t="s">
        <v>194</v>
      </c>
      <c r="D45" s="373"/>
      <c r="E45" s="373"/>
      <c r="F45" s="374"/>
      <c r="G45" s="373"/>
      <c r="H45" s="373"/>
      <c r="I45" s="373"/>
      <c r="J45" s="373"/>
      <c r="K45" s="373"/>
      <c r="L45" s="373"/>
      <c r="M45" s="373"/>
      <c r="N45" s="373"/>
      <c r="O45" s="373"/>
      <c r="P45" s="242"/>
      <c r="Q45" s="248"/>
      <c r="R45" s="249"/>
    </row>
    <row r="46" spans="1:18" s="250" customFormat="1" ht="12.75" customHeight="1" hidden="1">
      <c r="A46" s="241"/>
      <c r="B46" s="242"/>
      <c r="C46" s="372" t="s">
        <v>195</v>
      </c>
      <c r="D46" s="375"/>
      <c r="E46" s="375"/>
      <c r="F46" s="376"/>
      <c r="G46" s="375"/>
      <c r="H46" s="375"/>
      <c r="I46" s="375"/>
      <c r="J46" s="375"/>
      <c r="K46" s="375"/>
      <c r="L46" s="375"/>
      <c r="M46" s="375"/>
      <c r="N46" s="375"/>
      <c r="O46" s="375"/>
      <c r="P46" s="242"/>
      <c r="Q46" s="248"/>
      <c r="R46" s="249"/>
    </row>
    <row r="47" spans="1:18" s="250" customFormat="1" ht="12.75" customHeight="1" hidden="1">
      <c r="A47" s="241"/>
      <c r="B47" s="242"/>
      <c r="C47" s="372" t="s">
        <v>196</v>
      </c>
      <c r="D47" s="375"/>
      <c r="E47" s="375"/>
      <c r="F47" s="376"/>
      <c r="G47" s="375"/>
      <c r="H47" s="375"/>
      <c r="I47" s="375"/>
      <c r="J47" s="375"/>
      <c r="K47" s="375"/>
      <c r="L47" s="375"/>
      <c r="M47" s="375"/>
      <c r="N47" s="375"/>
      <c r="O47" s="375"/>
      <c r="P47" s="242"/>
      <c r="Q47" s="248"/>
      <c r="R47" s="249"/>
    </row>
    <row r="48" spans="1:18" s="250" customFormat="1" ht="12.75" hidden="1">
      <c r="A48" s="241"/>
      <c r="B48" s="242"/>
      <c r="C48" s="372" t="s">
        <v>197</v>
      </c>
      <c r="D48" s="377"/>
      <c r="E48" s="377"/>
      <c r="F48" s="378"/>
      <c r="G48" s="377"/>
      <c r="H48" s="377"/>
      <c r="I48" s="377"/>
      <c r="J48" s="377"/>
      <c r="K48" s="377"/>
      <c r="L48" s="377"/>
      <c r="M48" s="377"/>
      <c r="N48" s="377"/>
      <c r="O48" s="377"/>
      <c r="P48" s="242"/>
      <c r="Q48" s="248"/>
      <c r="R48" s="249"/>
    </row>
    <row r="49" spans="1:18" s="250" customFormat="1" ht="12.75" customHeight="1" hidden="1">
      <c r="A49" s="241"/>
      <c r="B49" s="242"/>
      <c r="C49" s="379" t="s">
        <v>198</v>
      </c>
      <c r="D49" s="377"/>
      <c r="E49" s="377"/>
      <c r="F49" s="378"/>
      <c r="G49" s="377"/>
      <c r="H49" s="377"/>
      <c r="I49" s="377"/>
      <c r="J49" s="377"/>
      <c r="K49" s="377"/>
      <c r="L49" s="377"/>
      <c r="M49" s="377"/>
      <c r="N49" s="377"/>
      <c r="O49" s="377"/>
      <c r="P49" s="242"/>
      <c r="Q49" s="248"/>
      <c r="R49" s="249"/>
    </row>
    <row r="50" spans="1:18" s="250" customFormat="1" ht="5.25" customHeight="1" hidden="1">
      <c r="A50" s="241"/>
      <c r="B50" s="242"/>
      <c r="C50" s="764"/>
      <c r="D50" s="764"/>
      <c r="E50" s="764"/>
      <c r="F50" s="764"/>
      <c r="G50" s="764"/>
      <c r="H50" s="764"/>
      <c r="I50" s="764"/>
      <c r="J50" s="764"/>
      <c r="K50" s="764"/>
      <c r="L50" s="764"/>
      <c r="M50" s="764"/>
      <c r="N50" s="764"/>
      <c r="O50" s="370"/>
      <c r="P50" s="242"/>
      <c r="Q50" s="248"/>
      <c r="R50" s="249"/>
    </row>
    <row r="51" spans="1:18" s="250" customFormat="1" ht="12.75" customHeight="1" hidden="1">
      <c r="A51" s="241"/>
      <c r="B51" s="242"/>
      <c r="C51" s="764" t="s">
        <v>200</v>
      </c>
      <c r="D51" s="764"/>
      <c r="E51" s="764"/>
      <c r="F51" s="764"/>
      <c r="G51" s="764"/>
      <c r="H51" s="764"/>
      <c r="I51" s="764"/>
      <c r="J51" s="764"/>
      <c r="K51" s="764"/>
      <c r="L51" s="764"/>
      <c r="M51" s="764"/>
      <c r="N51" s="764"/>
      <c r="O51" s="370"/>
      <c r="P51" s="242"/>
      <c r="Q51" s="248"/>
      <c r="R51" s="249"/>
    </row>
    <row r="52" spans="1:18" s="250" customFormat="1" ht="9" customHeight="1">
      <c r="A52" s="241"/>
      <c r="B52" s="242"/>
      <c r="D52" s="380"/>
      <c r="E52" s="380"/>
      <c r="F52" s="381"/>
      <c r="G52" s="380"/>
      <c r="H52" s="382"/>
      <c r="I52" s="382"/>
      <c r="J52" s="382"/>
      <c r="K52" s="382"/>
      <c r="P52" s="242"/>
      <c r="Q52" s="248"/>
      <c r="R52" s="249"/>
    </row>
    <row r="53" spans="1:18" s="250" customFormat="1" ht="4.5" customHeight="1">
      <c r="A53" s="383"/>
      <c r="B53" s="383"/>
      <c r="C53" s="384"/>
      <c r="D53" s="385"/>
      <c r="E53" s="385"/>
      <c r="F53" s="386"/>
      <c r="G53" s="385"/>
      <c r="H53" s="387"/>
      <c r="I53" s="387"/>
      <c r="J53" s="387"/>
      <c r="K53" s="387"/>
      <c r="L53" s="384"/>
      <c r="M53" s="384"/>
      <c r="N53" s="384"/>
      <c r="O53" s="384"/>
      <c r="P53" s="384"/>
      <c r="Q53" s="384"/>
      <c r="R53" s="384"/>
    </row>
    <row r="54" spans="1:11" s="249" customFormat="1" ht="3" customHeight="1">
      <c r="A54" s="241"/>
      <c r="D54" s="279"/>
      <c r="E54" s="279"/>
      <c r="F54" s="280"/>
      <c r="G54" s="281"/>
      <c r="H54" s="282"/>
      <c r="I54" s="282"/>
      <c r="J54" s="282"/>
      <c r="K54" s="282"/>
    </row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</sheetData>
  <sheetProtection/>
  <mergeCells count="37">
    <mergeCell ref="C50:N50"/>
    <mergeCell ref="C51:N51"/>
    <mergeCell ref="D40:K40"/>
    <mergeCell ref="L40:M40"/>
    <mergeCell ref="N40:O40"/>
    <mergeCell ref="D41:K41"/>
    <mergeCell ref="L41:M41"/>
    <mergeCell ref="N41:O41"/>
    <mergeCell ref="D38:K38"/>
    <mergeCell ref="L38:M38"/>
    <mergeCell ref="N38:O38"/>
    <mergeCell ref="D39:K39"/>
    <mergeCell ref="L39:M39"/>
    <mergeCell ref="N39:O39"/>
    <mergeCell ref="C33:M33"/>
    <mergeCell ref="D36:K36"/>
    <mergeCell ref="L36:M36"/>
    <mergeCell ref="N36:O36"/>
    <mergeCell ref="D37:K37"/>
    <mergeCell ref="L37:M37"/>
    <mergeCell ref="N37:O37"/>
    <mergeCell ref="J11:J12"/>
    <mergeCell ref="K11:K12"/>
    <mergeCell ref="L11:L12"/>
    <mergeCell ref="M11:M12"/>
    <mergeCell ref="N11:O11"/>
    <mergeCell ref="C31:M31"/>
    <mergeCell ref="C5:N5"/>
    <mergeCell ref="C6:N6"/>
    <mergeCell ref="H7:N7"/>
    <mergeCell ref="D8:M8"/>
    <mergeCell ref="D11:D12"/>
    <mergeCell ref="E11:E12"/>
    <mergeCell ref="F11:F12"/>
    <mergeCell ref="G11:G12"/>
    <mergeCell ref="H11:H12"/>
    <mergeCell ref="I11:I12"/>
  </mergeCells>
  <hyperlinks>
    <hyperlink ref="D7" location="Меню!A1" tooltip="Меню" display="Вернуться назад"/>
  </hyperlinks>
  <printOptions/>
  <pageMargins left="0.7" right="0.7" top="0.75" bottom="0.75" header="0.3" footer="0.3"/>
  <pageSetup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3">
    <tabColor rgb="FF78ACF8"/>
  </sheetPr>
  <dimension ref="A1:R101"/>
  <sheetViews>
    <sheetView showGridLines="0" zoomScaleSheetLayoutView="100" workbookViewId="0" topLeftCell="A1">
      <pane ySplit="29" topLeftCell="A30" activePane="bottomLeft" state="frozen"/>
      <selection pane="topLeft" activeCell="N37" sqref="N37:O37"/>
      <selection pane="bottomLeft" activeCell="D11" sqref="D11"/>
    </sheetView>
  </sheetViews>
  <sheetFormatPr defaultColWidth="0" defaultRowHeight="0" customHeight="1" zeroHeight="1"/>
  <cols>
    <col min="1" max="3" width="1.421875" style="9" customWidth="1"/>
    <col min="4" max="4" width="10.140625" style="456" customWidth="1"/>
    <col min="5" max="5" width="14.00390625" style="9" customWidth="1"/>
    <col min="6" max="6" width="21.28125" style="9" customWidth="1"/>
    <col min="7" max="7" width="17.28125" style="9" customWidth="1"/>
    <col min="8" max="8" width="24.140625" style="9" customWidth="1"/>
    <col min="9" max="9" width="6.00390625" style="9" customWidth="1"/>
    <col min="10" max="10" width="9.00390625" style="9" customWidth="1"/>
    <col min="11" max="11" width="8.8515625" style="9" customWidth="1"/>
    <col min="12" max="13" width="8.140625" style="9" customWidth="1"/>
    <col min="14" max="15" width="1.421875" style="9" customWidth="1"/>
    <col min="16" max="16" width="1.8515625" style="9" customWidth="1"/>
    <col min="17" max="17" width="1.421875" style="9" customWidth="1"/>
    <col min="18" max="16384" width="0" style="9" hidden="1" customWidth="1"/>
  </cols>
  <sheetData>
    <row r="1" spans="1:11" s="2" customFormat="1" ht="8.25" customHeight="1">
      <c r="A1" s="1"/>
      <c r="D1" s="388"/>
      <c r="E1" s="168"/>
      <c r="F1" s="169"/>
      <c r="G1" s="171"/>
      <c r="H1" s="3"/>
      <c r="I1" s="3"/>
      <c r="J1" s="3"/>
      <c r="K1" s="3"/>
    </row>
    <row r="2" spans="1:15" s="2" customFormat="1" ht="8.25" customHeight="1">
      <c r="A2" s="1"/>
      <c r="B2" s="4"/>
      <c r="C2" s="4"/>
      <c r="D2" s="389"/>
      <c r="E2" s="172"/>
      <c r="F2" s="6"/>
      <c r="G2" s="7"/>
      <c r="H2" s="8"/>
      <c r="I2" s="8"/>
      <c r="J2" s="8"/>
      <c r="K2" s="8"/>
      <c r="L2" s="4"/>
      <c r="M2" s="4"/>
      <c r="N2" s="4"/>
      <c r="O2" s="4"/>
    </row>
    <row r="3" spans="1:17" ht="12" customHeight="1">
      <c r="A3" s="1"/>
      <c r="D3" s="390"/>
      <c r="E3" s="174"/>
      <c r="F3" s="175"/>
      <c r="G3" s="138"/>
      <c r="H3" s="10"/>
      <c r="I3" s="10"/>
      <c r="J3" s="10"/>
      <c r="K3" s="10"/>
      <c r="P3" s="11"/>
      <c r="Q3" s="2"/>
    </row>
    <row r="4" spans="1:17" ht="55.5" customHeight="1">
      <c r="A4" s="1"/>
      <c r="D4" s="390"/>
      <c r="E4" s="174"/>
      <c r="F4" s="175"/>
      <c r="G4" s="138"/>
      <c r="H4" s="10"/>
      <c r="I4" s="10"/>
      <c r="J4" s="10"/>
      <c r="K4" s="10"/>
      <c r="P4" s="11"/>
      <c r="Q4" s="2"/>
    </row>
    <row r="5" spans="1:17" ht="27.75" customHeight="1">
      <c r="A5" s="1"/>
      <c r="C5" s="765" t="s">
        <v>311</v>
      </c>
      <c r="D5" s="765"/>
      <c r="E5" s="765"/>
      <c r="F5" s="765"/>
      <c r="G5" s="765"/>
      <c r="H5" s="765"/>
      <c r="I5" s="765"/>
      <c r="J5" s="765"/>
      <c r="K5" s="765"/>
      <c r="L5" s="765"/>
      <c r="M5" s="765"/>
      <c r="N5" s="765"/>
      <c r="P5" s="11"/>
      <c r="Q5" s="2"/>
    </row>
    <row r="6" spans="1:17" ht="13.5" customHeight="1">
      <c r="A6" s="1"/>
      <c r="C6" s="766" t="s">
        <v>312</v>
      </c>
      <c r="D6" s="766"/>
      <c r="E6" s="766"/>
      <c r="F6" s="766"/>
      <c r="G6" s="766"/>
      <c r="H6" s="766"/>
      <c r="I6" s="766"/>
      <c r="J6" s="766"/>
      <c r="K6" s="766"/>
      <c r="L6" s="766"/>
      <c r="M6" s="766"/>
      <c r="N6" s="766"/>
      <c r="P6" s="11"/>
      <c r="Q6" s="2"/>
    </row>
    <row r="7" spans="1:17" ht="13.5" customHeight="1" hidden="1">
      <c r="A7" s="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P7" s="11"/>
      <c r="Q7" s="2"/>
    </row>
    <row r="8" spans="1:17" ht="13.5" customHeight="1" hidden="1">
      <c r="A8" s="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P8" s="11"/>
      <c r="Q8" s="2"/>
    </row>
    <row r="9" spans="1:17" ht="13.5" customHeight="1" hidden="1">
      <c r="A9" s="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P9" s="11"/>
      <c r="Q9" s="2"/>
    </row>
    <row r="10" spans="1:17" ht="13.5" customHeight="1">
      <c r="A10" s="1"/>
      <c r="C10" s="391"/>
      <c r="D10" s="392" t="s">
        <v>1</v>
      </c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P10" s="11"/>
      <c r="Q10" s="2"/>
    </row>
    <row r="11" spans="1:17" ht="17.25" customHeight="1" thickBot="1">
      <c r="A11" s="1"/>
      <c r="D11" s="393">
        <v>43512</v>
      </c>
      <c r="E11" s="394"/>
      <c r="F11" s="182"/>
      <c r="G11" s="138"/>
      <c r="H11" s="671" t="s">
        <v>2</v>
      </c>
      <c r="I11" s="671"/>
      <c r="J11" s="671"/>
      <c r="K11" s="671"/>
      <c r="L11" s="671"/>
      <c r="M11" s="671"/>
      <c r="N11" s="671"/>
      <c r="P11" s="11"/>
      <c r="Q11" s="2"/>
    </row>
    <row r="12" spans="1:17" ht="7.5" customHeight="1" thickTop="1">
      <c r="A12" s="1"/>
      <c r="C12" s="19"/>
      <c r="D12" s="395"/>
      <c r="E12" s="184"/>
      <c r="F12" s="141"/>
      <c r="G12" s="142"/>
      <c r="H12" s="23"/>
      <c r="I12" s="23"/>
      <c r="J12" s="23"/>
      <c r="K12" s="23"/>
      <c r="L12" s="26"/>
      <c r="M12" s="26"/>
      <c r="N12" s="27"/>
      <c r="P12" s="11"/>
      <c r="Q12" s="2"/>
    </row>
    <row r="13" spans="1:17" s="396" customFormat="1" ht="15" customHeight="1">
      <c r="A13" s="36"/>
      <c r="C13" s="397"/>
      <c r="D13" s="767" t="s">
        <v>313</v>
      </c>
      <c r="E13" s="678" t="s">
        <v>314</v>
      </c>
      <c r="F13" s="682" t="s">
        <v>280</v>
      </c>
      <c r="G13" s="676" t="s">
        <v>5</v>
      </c>
      <c r="H13" s="676" t="s">
        <v>6</v>
      </c>
      <c r="I13" s="678" t="s">
        <v>7</v>
      </c>
      <c r="J13" s="680" t="s">
        <v>8</v>
      </c>
      <c r="K13" s="682" t="s">
        <v>9</v>
      </c>
      <c r="L13" s="684" t="s">
        <v>10</v>
      </c>
      <c r="M13" s="684"/>
      <c r="N13" s="398"/>
      <c r="P13" s="399"/>
      <c r="Q13" s="400"/>
    </row>
    <row r="14" spans="1:17" s="396" customFormat="1" ht="12.75">
      <c r="A14" s="36"/>
      <c r="C14" s="397"/>
      <c r="D14" s="768"/>
      <c r="E14" s="679"/>
      <c r="F14" s="683"/>
      <c r="G14" s="677"/>
      <c r="H14" s="677"/>
      <c r="I14" s="679"/>
      <c r="J14" s="681"/>
      <c r="K14" s="683"/>
      <c r="L14" s="31" t="s">
        <v>11</v>
      </c>
      <c r="M14" s="32" t="s">
        <v>12</v>
      </c>
      <c r="N14" s="398"/>
      <c r="P14" s="399"/>
      <c r="Q14" s="400"/>
    </row>
    <row r="15" spans="1:17" s="402" customFormat="1" ht="18.75" customHeight="1" hidden="1">
      <c r="A15" s="401"/>
      <c r="C15" s="403"/>
      <c r="D15" s="404" t="s">
        <v>315</v>
      </c>
      <c r="E15" s="405"/>
      <c r="F15" s="405"/>
      <c r="G15" s="405"/>
      <c r="H15" s="405"/>
      <c r="I15" s="405"/>
      <c r="J15" s="405"/>
      <c r="K15" s="405"/>
      <c r="L15" s="406"/>
      <c r="M15" s="407" t="s">
        <v>47</v>
      </c>
      <c r="N15" s="408"/>
      <c r="P15" s="409"/>
      <c r="Q15" s="410"/>
    </row>
    <row r="16" spans="1:17" s="131" customFormat="1" ht="15" customHeight="1" hidden="1">
      <c r="A16" s="1"/>
      <c r="C16" s="411"/>
      <c r="D16" s="412">
        <v>34270800</v>
      </c>
      <c r="E16" s="412" t="s">
        <v>316</v>
      </c>
      <c r="F16" s="769" t="s">
        <v>317</v>
      </c>
      <c r="G16" s="414" t="s">
        <v>318</v>
      </c>
      <c r="H16" s="41" t="s">
        <v>319</v>
      </c>
      <c r="I16" s="415">
        <v>3</v>
      </c>
      <c r="J16" s="416">
        <v>48</v>
      </c>
      <c r="K16" s="417">
        <v>416</v>
      </c>
      <c r="L16" s="415" t="e">
        <v>#N/A</v>
      </c>
      <c r="M16" s="418" t="e">
        <v>#N/A</v>
      </c>
      <c r="N16" s="419"/>
      <c r="P16" s="420"/>
      <c r="Q16" s="421"/>
    </row>
    <row r="17" spans="1:17" s="131" customFormat="1" ht="15" customHeight="1" hidden="1">
      <c r="A17" s="1"/>
      <c r="C17" s="411"/>
      <c r="D17" s="412">
        <v>34270870</v>
      </c>
      <c r="E17" s="412" t="s">
        <v>316</v>
      </c>
      <c r="F17" s="770"/>
      <c r="G17" s="414" t="s">
        <v>318</v>
      </c>
      <c r="H17" s="41" t="s">
        <v>320</v>
      </c>
      <c r="I17" s="415">
        <v>3</v>
      </c>
      <c r="J17" s="416">
        <v>48</v>
      </c>
      <c r="K17" s="417">
        <v>416</v>
      </c>
      <c r="L17" s="415" t="e">
        <v>#N/A</v>
      </c>
      <c r="M17" s="418" t="e">
        <v>#N/A</v>
      </c>
      <c r="N17" s="419"/>
      <c r="P17" s="420"/>
      <c r="Q17" s="421"/>
    </row>
    <row r="18" spans="1:17" s="131" customFormat="1" ht="15" customHeight="1" hidden="1">
      <c r="A18" s="1"/>
      <c r="C18" s="411"/>
      <c r="D18" s="412">
        <v>34270610</v>
      </c>
      <c r="E18" s="412" t="s">
        <v>316</v>
      </c>
      <c r="F18" s="769" t="s">
        <v>321</v>
      </c>
      <c r="G18" s="414" t="s">
        <v>318</v>
      </c>
      <c r="H18" s="41" t="s">
        <v>319</v>
      </c>
      <c r="I18" s="415">
        <v>3</v>
      </c>
      <c r="J18" s="416">
        <v>48</v>
      </c>
      <c r="K18" s="417">
        <v>416</v>
      </c>
      <c r="L18" s="415" t="e">
        <v>#N/A</v>
      </c>
      <c r="M18" s="418" t="e">
        <v>#N/A</v>
      </c>
      <c r="N18" s="419"/>
      <c r="P18" s="420"/>
      <c r="Q18" s="421"/>
    </row>
    <row r="19" spans="1:17" s="131" customFormat="1" ht="15" customHeight="1" hidden="1">
      <c r="A19" s="1"/>
      <c r="C19" s="411"/>
      <c r="D19" s="412">
        <v>34270650</v>
      </c>
      <c r="E19" s="412" t="s">
        <v>316</v>
      </c>
      <c r="F19" s="770"/>
      <c r="G19" s="414" t="s">
        <v>318</v>
      </c>
      <c r="H19" s="41" t="s">
        <v>322</v>
      </c>
      <c r="I19" s="415">
        <v>3</v>
      </c>
      <c r="J19" s="416">
        <v>48</v>
      </c>
      <c r="K19" s="417">
        <v>416</v>
      </c>
      <c r="L19" s="415" t="e">
        <v>#N/A</v>
      </c>
      <c r="M19" s="418" t="e">
        <v>#N/A</v>
      </c>
      <c r="N19" s="419"/>
      <c r="P19" s="420"/>
      <c r="Q19" s="421"/>
    </row>
    <row r="20" spans="1:17" s="131" customFormat="1" ht="15" customHeight="1" hidden="1">
      <c r="A20" s="1"/>
      <c r="C20" s="411"/>
      <c r="D20" s="412">
        <v>34280310</v>
      </c>
      <c r="E20" s="412" t="s">
        <v>316</v>
      </c>
      <c r="F20" s="413" t="s">
        <v>323</v>
      </c>
      <c r="G20" s="414" t="s">
        <v>318</v>
      </c>
      <c r="H20" s="41" t="s">
        <v>319</v>
      </c>
      <c r="I20" s="415">
        <v>3</v>
      </c>
      <c r="J20" s="416">
        <v>48</v>
      </c>
      <c r="K20" s="417">
        <v>416</v>
      </c>
      <c r="L20" s="415" t="e">
        <v>#N/A</v>
      </c>
      <c r="M20" s="418" t="e">
        <v>#N/A</v>
      </c>
      <c r="N20" s="419"/>
      <c r="P20" s="420"/>
      <c r="Q20" s="421"/>
    </row>
    <row r="21" spans="1:17" s="131" customFormat="1" ht="15" customHeight="1" hidden="1">
      <c r="A21" s="1"/>
      <c r="C21" s="411"/>
      <c r="D21" s="412">
        <v>34283300</v>
      </c>
      <c r="E21" s="412" t="s">
        <v>316</v>
      </c>
      <c r="F21" s="413" t="s">
        <v>324</v>
      </c>
      <c r="G21" s="414" t="s">
        <v>318</v>
      </c>
      <c r="H21" s="41" t="s">
        <v>319</v>
      </c>
      <c r="I21" s="415">
        <v>3</v>
      </c>
      <c r="J21" s="416">
        <v>48</v>
      </c>
      <c r="K21" s="417">
        <v>416</v>
      </c>
      <c r="L21" s="415" t="e">
        <v>#N/A</v>
      </c>
      <c r="M21" s="418" t="e">
        <v>#N/A</v>
      </c>
      <c r="N21" s="419"/>
      <c r="P21" s="420"/>
      <c r="Q21" s="421"/>
    </row>
    <row r="22" spans="1:17" s="131" customFormat="1" ht="15" customHeight="1" hidden="1">
      <c r="A22" s="1"/>
      <c r="C22" s="411"/>
      <c r="D22" s="412">
        <v>34270000</v>
      </c>
      <c r="E22" s="412" t="s">
        <v>316</v>
      </c>
      <c r="F22" s="769" t="s">
        <v>325</v>
      </c>
      <c r="G22" s="414" t="s">
        <v>318</v>
      </c>
      <c r="H22" s="41" t="s">
        <v>319</v>
      </c>
      <c r="I22" s="415">
        <v>3</v>
      </c>
      <c r="J22" s="416">
        <v>48</v>
      </c>
      <c r="K22" s="417">
        <v>416</v>
      </c>
      <c r="L22" s="415" t="e">
        <v>#N/A</v>
      </c>
      <c r="M22" s="418" t="e">
        <v>#N/A</v>
      </c>
      <c r="N22" s="419"/>
      <c r="P22" s="420"/>
      <c r="Q22" s="421"/>
    </row>
    <row r="23" spans="1:17" s="131" customFormat="1" ht="15" customHeight="1" hidden="1">
      <c r="A23" s="1"/>
      <c r="C23" s="411"/>
      <c r="D23" s="412">
        <v>34271100</v>
      </c>
      <c r="E23" s="412" t="s">
        <v>316</v>
      </c>
      <c r="F23" s="771"/>
      <c r="G23" s="414" t="s">
        <v>326</v>
      </c>
      <c r="H23" s="41" t="s">
        <v>327</v>
      </c>
      <c r="I23" s="415">
        <v>3.7</v>
      </c>
      <c r="J23" s="416">
        <v>50</v>
      </c>
      <c r="K23" s="417">
        <v>392</v>
      </c>
      <c r="L23" s="415" t="e">
        <v>#N/A</v>
      </c>
      <c r="M23" s="418" t="e">
        <v>#N/A</v>
      </c>
      <c r="N23" s="419"/>
      <c r="P23" s="420"/>
      <c r="Q23" s="421"/>
    </row>
    <row r="24" spans="1:17" s="131" customFormat="1" ht="15" customHeight="1" hidden="1">
      <c r="A24" s="1"/>
      <c r="C24" s="411"/>
      <c r="D24" s="412">
        <v>34270040</v>
      </c>
      <c r="E24" s="412" t="s">
        <v>316</v>
      </c>
      <c r="F24" s="770"/>
      <c r="G24" s="414" t="s">
        <v>318</v>
      </c>
      <c r="H24" s="41" t="s">
        <v>328</v>
      </c>
      <c r="I24" s="415">
        <v>3</v>
      </c>
      <c r="J24" s="416">
        <v>48</v>
      </c>
      <c r="K24" s="417">
        <v>416</v>
      </c>
      <c r="L24" s="415" t="e">
        <v>#N/A</v>
      </c>
      <c r="M24" s="418" t="e">
        <v>#N/A</v>
      </c>
      <c r="N24" s="419"/>
      <c r="P24" s="420"/>
      <c r="Q24" s="421"/>
    </row>
    <row r="25" spans="1:17" s="131" customFormat="1" ht="15" customHeight="1" hidden="1">
      <c r="A25" s="1"/>
      <c r="C25" s="411"/>
      <c r="D25" s="412">
        <v>34280600</v>
      </c>
      <c r="E25" s="412" t="s">
        <v>316</v>
      </c>
      <c r="F25" s="413" t="s">
        <v>329</v>
      </c>
      <c r="G25" s="414" t="s">
        <v>318</v>
      </c>
      <c r="H25" s="41" t="s">
        <v>319</v>
      </c>
      <c r="I25" s="415">
        <v>3</v>
      </c>
      <c r="J25" s="416">
        <v>48</v>
      </c>
      <c r="K25" s="417">
        <v>416</v>
      </c>
      <c r="L25" s="415" t="e">
        <v>#N/A</v>
      </c>
      <c r="M25" s="418" t="e">
        <v>#N/A</v>
      </c>
      <c r="N25" s="419"/>
      <c r="P25" s="420"/>
      <c r="Q25" s="421"/>
    </row>
    <row r="26" spans="1:17" s="131" customFormat="1" ht="15" customHeight="1" hidden="1">
      <c r="A26" s="1"/>
      <c r="C26" s="411"/>
      <c r="D26" s="412">
        <v>34270340</v>
      </c>
      <c r="E26" s="412" t="s">
        <v>316</v>
      </c>
      <c r="F26" s="413" t="s">
        <v>237</v>
      </c>
      <c r="G26" s="414" t="s">
        <v>318</v>
      </c>
      <c r="H26" s="41" t="s">
        <v>319</v>
      </c>
      <c r="I26" s="415">
        <v>3</v>
      </c>
      <c r="J26" s="416">
        <v>48</v>
      </c>
      <c r="K26" s="417">
        <v>416</v>
      </c>
      <c r="L26" s="415" t="e">
        <v>#N/A</v>
      </c>
      <c r="M26" s="418" t="e">
        <v>#N/A</v>
      </c>
      <c r="N26" s="419"/>
      <c r="P26" s="420"/>
      <c r="Q26" s="421"/>
    </row>
    <row r="27" spans="1:17" s="131" customFormat="1" ht="15" customHeight="1" hidden="1">
      <c r="A27" s="1"/>
      <c r="C27" s="411"/>
      <c r="D27" s="412">
        <v>34270460</v>
      </c>
      <c r="E27" s="412" t="s">
        <v>316</v>
      </c>
      <c r="F27" s="413" t="s">
        <v>330</v>
      </c>
      <c r="G27" s="414" t="s">
        <v>318</v>
      </c>
      <c r="H27" s="41" t="s">
        <v>319</v>
      </c>
      <c r="I27" s="415">
        <v>3</v>
      </c>
      <c r="J27" s="416">
        <v>48</v>
      </c>
      <c r="K27" s="417">
        <v>416</v>
      </c>
      <c r="L27" s="415" t="e">
        <v>#N/A</v>
      </c>
      <c r="M27" s="418" t="e">
        <v>#N/A</v>
      </c>
      <c r="N27" s="419"/>
      <c r="P27" s="420"/>
      <c r="Q27" s="421"/>
    </row>
    <row r="28" spans="1:17" s="131" customFormat="1" ht="15" customHeight="1" hidden="1">
      <c r="A28" s="1"/>
      <c r="C28" s="411"/>
      <c r="D28" s="412">
        <v>34286010</v>
      </c>
      <c r="E28" s="412" t="s">
        <v>316</v>
      </c>
      <c r="F28" s="769" t="s">
        <v>331</v>
      </c>
      <c r="G28" s="414" t="s">
        <v>318</v>
      </c>
      <c r="H28" s="41" t="s">
        <v>327</v>
      </c>
      <c r="I28" s="415">
        <v>3.7</v>
      </c>
      <c r="J28" s="416">
        <v>48</v>
      </c>
      <c r="K28" s="417">
        <v>416</v>
      </c>
      <c r="L28" s="415" t="e">
        <v>#N/A</v>
      </c>
      <c r="M28" s="418" t="e">
        <v>#N/A</v>
      </c>
      <c r="N28" s="419"/>
      <c r="P28" s="420"/>
      <c r="Q28" s="421"/>
    </row>
    <row r="29" spans="1:17" s="131" customFormat="1" ht="15" customHeight="1" hidden="1">
      <c r="A29" s="1"/>
      <c r="C29" s="411"/>
      <c r="D29" s="412">
        <v>34287200</v>
      </c>
      <c r="E29" s="412" t="s">
        <v>316</v>
      </c>
      <c r="F29" s="770"/>
      <c r="G29" s="414" t="s">
        <v>326</v>
      </c>
      <c r="H29" s="41" t="s">
        <v>327</v>
      </c>
      <c r="I29" s="415">
        <v>3.7</v>
      </c>
      <c r="J29" s="416">
        <v>50</v>
      </c>
      <c r="K29" s="417">
        <v>392</v>
      </c>
      <c r="L29" s="415" t="e">
        <v>#N/A</v>
      </c>
      <c r="M29" s="418" t="e">
        <v>#N/A</v>
      </c>
      <c r="N29" s="419"/>
      <c r="P29" s="420"/>
      <c r="Q29" s="421"/>
    </row>
    <row r="30" spans="1:17" s="402" customFormat="1" ht="18.75" customHeight="1">
      <c r="A30" s="401"/>
      <c r="C30" s="403"/>
      <c r="D30" s="404" t="s">
        <v>332</v>
      </c>
      <c r="E30" s="405"/>
      <c r="F30" s="405"/>
      <c r="G30" s="405"/>
      <c r="H30" s="405"/>
      <c r="I30" s="405"/>
      <c r="J30" s="405"/>
      <c r="K30" s="405"/>
      <c r="L30" s="45"/>
      <c r="M30" s="407" t="s">
        <v>47</v>
      </c>
      <c r="N30" s="408"/>
      <c r="P30" s="409"/>
      <c r="Q30" s="410"/>
    </row>
    <row r="31" spans="1:17" s="396" customFormat="1" ht="15" customHeight="1">
      <c r="A31" s="36" t="s">
        <v>333</v>
      </c>
      <c r="C31" s="397"/>
      <c r="D31" s="412" t="s">
        <v>334</v>
      </c>
      <c r="E31" s="412" t="s">
        <v>335</v>
      </c>
      <c r="F31" s="769" t="s">
        <v>336</v>
      </c>
      <c r="G31" s="414" t="s">
        <v>318</v>
      </c>
      <c r="H31" s="41" t="s">
        <v>327</v>
      </c>
      <c r="I31" s="415">
        <v>3.7</v>
      </c>
      <c r="J31" s="422">
        <v>48</v>
      </c>
      <c r="K31" s="423">
        <v>250</v>
      </c>
      <c r="L31" s="415">
        <v>128.676132</v>
      </c>
      <c r="M31" s="418">
        <v>6176.454336</v>
      </c>
      <c r="N31" s="398"/>
      <c r="P31" s="399"/>
      <c r="Q31" s="400"/>
    </row>
    <row r="32" spans="1:17" s="396" customFormat="1" ht="15" customHeight="1">
      <c r="A32" s="36" t="s">
        <v>333</v>
      </c>
      <c r="C32" s="397"/>
      <c r="D32" s="412" t="s">
        <v>337</v>
      </c>
      <c r="E32" s="412" t="s">
        <v>316</v>
      </c>
      <c r="F32" s="770"/>
      <c r="G32" s="414" t="s">
        <v>338</v>
      </c>
      <c r="H32" s="41" t="s">
        <v>327</v>
      </c>
      <c r="I32" s="415">
        <v>3.8</v>
      </c>
      <c r="J32" s="422">
        <v>50</v>
      </c>
      <c r="K32" s="423">
        <v>275</v>
      </c>
      <c r="L32" s="415">
        <v>129.428624</v>
      </c>
      <c r="M32" s="418">
        <v>6471.431200000001</v>
      </c>
      <c r="N32" s="398"/>
      <c r="P32" s="399"/>
      <c r="Q32" s="400"/>
    </row>
    <row r="33" spans="1:17" s="131" customFormat="1" ht="15" customHeight="1">
      <c r="A33" s="1"/>
      <c r="C33" s="411"/>
      <c r="D33" s="412" t="s">
        <v>339</v>
      </c>
      <c r="E33" s="412" t="s">
        <v>316</v>
      </c>
      <c r="F33" s="413" t="s">
        <v>340</v>
      </c>
      <c r="G33" s="414" t="s">
        <v>318</v>
      </c>
      <c r="H33" s="41" t="s">
        <v>327</v>
      </c>
      <c r="I33" s="415">
        <v>3.7</v>
      </c>
      <c r="J33" s="422">
        <v>48</v>
      </c>
      <c r="K33" s="423">
        <v>250</v>
      </c>
      <c r="L33" s="415">
        <v>128.676132</v>
      </c>
      <c r="M33" s="418">
        <v>6176.454336</v>
      </c>
      <c r="N33" s="419"/>
      <c r="P33" s="420"/>
      <c r="Q33" s="421"/>
    </row>
    <row r="34" spans="1:17" s="131" customFormat="1" ht="15" customHeight="1">
      <c r="A34" s="1"/>
      <c r="C34" s="411"/>
      <c r="D34" s="412" t="s">
        <v>341</v>
      </c>
      <c r="E34" s="412" t="s">
        <v>316</v>
      </c>
      <c r="F34" s="413" t="s">
        <v>342</v>
      </c>
      <c r="G34" s="414" t="s">
        <v>318</v>
      </c>
      <c r="H34" s="41" t="s">
        <v>327</v>
      </c>
      <c r="I34" s="415">
        <v>3.7</v>
      </c>
      <c r="J34" s="422">
        <v>48</v>
      </c>
      <c r="K34" s="423">
        <v>250</v>
      </c>
      <c r="L34" s="415">
        <v>128.676132</v>
      </c>
      <c r="M34" s="418">
        <v>6176.454336</v>
      </c>
      <c r="N34" s="419"/>
      <c r="P34" s="420"/>
      <c r="Q34" s="421"/>
    </row>
    <row r="35" spans="1:17" s="131" customFormat="1" ht="15" customHeight="1" hidden="1">
      <c r="A35" s="1"/>
      <c r="C35" s="411"/>
      <c r="D35" s="412">
        <v>34377100</v>
      </c>
      <c r="E35" s="412" t="s">
        <v>343</v>
      </c>
      <c r="F35" s="413" t="s">
        <v>344</v>
      </c>
      <c r="G35" s="414" t="s">
        <v>318</v>
      </c>
      <c r="H35" s="41" t="s">
        <v>327</v>
      </c>
      <c r="I35" s="415">
        <v>3.7</v>
      </c>
      <c r="J35" s="422">
        <v>48</v>
      </c>
      <c r="K35" s="423">
        <v>250</v>
      </c>
      <c r="L35" s="415">
        <v>128.676132</v>
      </c>
      <c r="M35" s="418">
        <v>6176.454336</v>
      </c>
      <c r="N35" s="419"/>
      <c r="P35" s="420"/>
      <c r="Q35" s="421"/>
    </row>
    <row r="36" spans="1:17" s="131" customFormat="1" ht="15" customHeight="1">
      <c r="A36" s="1"/>
      <c r="C36" s="411"/>
      <c r="D36" s="412" t="s">
        <v>345</v>
      </c>
      <c r="E36" s="412" t="s">
        <v>346</v>
      </c>
      <c r="F36" s="413" t="s">
        <v>347</v>
      </c>
      <c r="G36" s="414" t="s">
        <v>318</v>
      </c>
      <c r="H36" s="41" t="s">
        <v>327</v>
      </c>
      <c r="I36" s="415">
        <v>3.7</v>
      </c>
      <c r="J36" s="422">
        <v>48</v>
      </c>
      <c r="K36" s="423">
        <v>250</v>
      </c>
      <c r="L36" s="415">
        <v>121.15121200000002</v>
      </c>
      <c r="M36" s="418">
        <v>5815.258176000001</v>
      </c>
      <c r="N36" s="419"/>
      <c r="P36" s="420"/>
      <c r="Q36" s="421"/>
    </row>
    <row r="37" spans="1:17" s="131" customFormat="1" ht="15" customHeight="1">
      <c r="A37" s="1"/>
      <c r="C37" s="411"/>
      <c r="D37" s="412">
        <v>34381100</v>
      </c>
      <c r="E37" s="412" t="s">
        <v>348</v>
      </c>
      <c r="F37" s="413" t="s">
        <v>349</v>
      </c>
      <c r="G37" s="414" t="s">
        <v>318</v>
      </c>
      <c r="H37" s="41" t="s">
        <v>327</v>
      </c>
      <c r="I37" s="415">
        <v>3.7</v>
      </c>
      <c r="J37" s="422">
        <v>48</v>
      </c>
      <c r="K37" s="423">
        <v>250</v>
      </c>
      <c r="L37" s="415">
        <v>124.16118</v>
      </c>
      <c r="M37" s="418">
        <v>5959.73664</v>
      </c>
      <c r="N37" s="419"/>
      <c r="P37" s="420"/>
      <c r="Q37" s="421"/>
    </row>
    <row r="38" spans="1:17" s="396" customFormat="1" ht="15" customHeight="1" hidden="1">
      <c r="A38" s="36"/>
      <c r="C38" s="397"/>
      <c r="D38" s="412" t="s">
        <v>350</v>
      </c>
      <c r="E38" s="412" t="s">
        <v>316</v>
      </c>
      <c r="F38" s="413" t="s">
        <v>351</v>
      </c>
      <c r="G38" s="414" t="s">
        <v>318</v>
      </c>
      <c r="H38" s="41" t="s">
        <v>327</v>
      </c>
      <c r="I38" s="415">
        <v>3.7</v>
      </c>
      <c r="J38" s="422">
        <v>48</v>
      </c>
      <c r="K38" s="423">
        <v>250</v>
      </c>
      <c r="L38" s="415">
        <v>0</v>
      </c>
      <c r="M38" s="418">
        <v>0</v>
      </c>
      <c r="N38" s="398"/>
      <c r="P38" s="399"/>
      <c r="Q38" s="400"/>
    </row>
    <row r="39" spans="1:17" s="131" customFormat="1" ht="15" customHeight="1">
      <c r="A39" s="1"/>
      <c r="C39" s="411"/>
      <c r="D39" s="412">
        <v>34370000</v>
      </c>
      <c r="E39" s="412" t="s">
        <v>352</v>
      </c>
      <c r="F39" s="769" t="s">
        <v>353</v>
      </c>
      <c r="G39" s="414" t="s">
        <v>318</v>
      </c>
      <c r="H39" s="41" t="s">
        <v>319</v>
      </c>
      <c r="I39" s="415">
        <v>3</v>
      </c>
      <c r="J39" s="422">
        <v>48</v>
      </c>
      <c r="K39" s="423">
        <v>250</v>
      </c>
      <c r="L39" s="415">
        <v>105.34888</v>
      </c>
      <c r="M39" s="418">
        <v>5056.7462399999995</v>
      </c>
      <c r="N39" s="419"/>
      <c r="P39" s="420"/>
      <c r="Q39" s="421"/>
    </row>
    <row r="40" spans="1:17" s="131" customFormat="1" ht="15" customHeight="1">
      <c r="A40" s="1"/>
      <c r="C40" s="411"/>
      <c r="D40" s="412" t="s">
        <v>354</v>
      </c>
      <c r="E40" s="412" t="s">
        <v>355</v>
      </c>
      <c r="F40" s="771"/>
      <c r="G40" s="414" t="s">
        <v>318</v>
      </c>
      <c r="H40" s="41" t="s">
        <v>327</v>
      </c>
      <c r="I40" s="415">
        <v>3.7</v>
      </c>
      <c r="J40" s="422">
        <v>48</v>
      </c>
      <c r="K40" s="423">
        <v>250</v>
      </c>
      <c r="L40" s="415">
        <v>121.15121200000002</v>
      </c>
      <c r="M40" s="418">
        <v>5815.258176000001</v>
      </c>
      <c r="N40" s="419"/>
      <c r="P40" s="420"/>
      <c r="Q40" s="421"/>
    </row>
    <row r="41" spans="1:17" s="131" customFormat="1" ht="15" customHeight="1">
      <c r="A41" s="1"/>
      <c r="C41" s="411"/>
      <c r="D41" s="412" t="s">
        <v>356</v>
      </c>
      <c r="E41" s="412" t="s">
        <v>357</v>
      </c>
      <c r="F41" s="769" t="s">
        <v>358</v>
      </c>
      <c r="G41" s="414" t="s">
        <v>318</v>
      </c>
      <c r="H41" s="41" t="s">
        <v>319</v>
      </c>
      <c r="I41" s="415">
        <v>3</v>
      </c>
      <c r="J41" s="422">
        <v>48</v>
      </c>
      <c r="K41" s="423">
        <v>250</v>
      </c>
      <c r="L41" s="415">
        <v>99.328944</v>
      </c>
      <c r="M41" s="418">
        <v>4767.789312000001</v>
      </c>
      <c r="N41" s="419"/>
      <c r="P41" s="420"/>
      <c r="Q41" s="421"/>
    </row>
    <row r="42" spans="1:17" s="131" customFormat="1" ht="15" customHeight="1">
      <c r="A42" s="1"/>
      <c r="C42" s="411"/>
      <c r="D42" s="412" t="s">
        <v>359</v>
      </c>
      <c r="E42" s="412" t="s">
        <v>360</v>
      </c>
      <c r="F42" s="770"/>
      <c r="G42" s="414" t="s">
        <v>338</v>
      </c>
      <c r="H42" s="41" t="s">
        <v>327</v>
      </c>
      <c r="I42" s="415">
        <v>3.8</v>
      </c>
      <c r="J42" s="422">
        <v>50</v>
      </c>
      <c r="K42" s="423">
        <v>275</v>
      </c>
      <c r="L42" s="415">
        <v>122.656196</v>
      </c>
      <c r="M42" s="418">
        <v>6132.8098</v>
      </c>
      <c r="N42" s="419"/>
      <c r="P42" s="420"/>
      <c r="Q42" s="421"/>
    </row>
    <row r="43" spans="1:17" s="402" customFormat="1" ht="18.75" customHeight="1">
      <c r="A43" s="401"/>
      <c r="C43" s="403"/>
      <c r="D43" s="404" t="s">
        <v>361</v>
      </c>
      <c r="E43" s="405"/>
      <c r="F43" s="405"/>
      <c r="G43" s="405"/>
      <c r="H43" s="405"/>
      <c r="I43" s="45"/>
      <c r="J43" s="424"/>
      <c r="K43" s="424"/>
      <c r="L43" s="45"/>
      <c r="M43" s="425"/>
      <c r="N43" s="408"/>
      <c r="P43" s="409"/>
      <c r="Q43" s="410"/>
    </row>
    <row r="44" spans="1:17" s="131" customFormat="1" ht="15" customHeight="1">
      <c r="A44" s="1"/>
      <c r="C44" s="411"/>
      <c r="D44" s="412" t="s">
        <v>362</v>
      </c>
      <c r="E44" s="412" t="s">
        <v>363</v>
      </c>
      <c r="F44" s="772" t="s">
        <v>364</v>
      </c>
      <c r="G44" s="414" t="s">
        <v>318</v>
      </c>
      <c r="H44" s="41" t="s">
        <v>365</v>
      </c>
      <c r="I44" s="415">
        <v>3.1</v>
      </c>
      <c r="J44" s="422">
        <v>48</v>
      </c>
      <c r="K44" s="423">
        <v>416</v>
      </c>
      <c r="L44" s="415">
        <v>126.418656</v>
      </c>
      <c r="M44" s="418">
        <v>6068.095488</v>
      </c>
      <c r="N44" s="419"/>
      <c r="P44" s="420"/>
      <c r="Q44" s="421"/>
    </row>
    <row r="45" spans="1:17" s="131" customFormat="1" ht="15" customHeight="1" hidden="1">
      <c r="A45" s="1"/>
      <c r="C45" s="411"/>
      <c r="D45" s="427">
        <v>34485480</v>
      </c>
      <c r="E45" s="412" t="s">
        <v>363</v>
      </c>
      <c r="F45" s="773"/>
      <c r="G45" s="414" t="s">
        <v>366</v>
      </c>
      <c r="H45" s="41" t="s">
        <v>365</v>
      </c>
      <c r="I45" s="415">
        <v>2.45</v>
      </c>
      <c r="J45" s="422">
        <v>48</v>
      </c>
      <c r="K45" s="423">
        <v>520</v>
      </c>
      <c r="L45" s="774">
        <v>0</v>
      </c>
      <c r="M45" s="689"/>
      <c r="N45" s="419"/>
      <c r="P45" s="420"/>
      <c r="Q45" s="421"/>
    </row>
    <row r="46" spans="1:17" s="131" customFormat="1" ht="15" customHeight="1" hidden="1">
      <c r="A46" s="1"/>
      <c r="C46" s="411"/>
      <c r="D46" s="412" t="s">
        <v>367</v>
      </c>
      <c r="E46" s="412" t="s">
        <v>368</v>
      </c>
      <c r="F46" s="426" t="s">
        <v>369</v>
      </c>
      <c r="G46" s="414" t="s">
        <v>318</v>
      </c>
      <c r="H46" s="41" t="s">
        <v>370</v>
      </c>
      <c r="I46" s="415">
        <v>3.1</v>
      </c>
      <c r="J46" s="422">
        <v>48</v>
      </c>
      <c r="K46" s="423">
        <v>416</v>
      </c>
      <c r="L46" s="415">
        <v>0</v>
      </c>
      <c r="M46" s="418">
        <v>0</v>
      </c>
      <c r="N46" s="419"/>
      <c r="P46" s="420"/>
      <c r="Q46" s="421"/>
    </row>
    <row r="47" spans="1:17" s="131" customFormat="1" ht="15" customHeight="1" hidden="1">
      <c r="A47" s="1"/>
      <c r="C47" s="411"/>
      <c r="D47" s="412" t="s">
        <v>371</v>
      </c>
      <c r="E47" s="412" t="s">
        <v>372</v>
      </c>
      <c r="F47" s="426" t="s">
        <v>373</v>
      </c>
      <c r="G47" s="414" t="s">
        <v>318</v>
      </c>
      <c r="H47" s="41" t="s">
        <v>374</v>
      </c>
      <c r="I47" s="415">
        <v>3.3</v>
      </c>
      <c r="J47" s="422">
        <v>48</v>
      </c>
      <c r="K47" s="423">
        <v>416</v>
      </c>
      <c r="L47" s="415">
        <v>0</v>
      </c>
      <c r="M47" s="418">
        <v>0</v>
      </c>
      <c r="N47" s="419"/>
      <c r="P47" s="420"/>
      <c r="Q47" s="421"/>
    </row>
    <row r="48" spans="1:17" s="131" customFormat="1" ht="15" customHeight="1">
      <c r="A48" s="1"/>
      <c r="C48" s="411"/>
      <c r="D48" s="428" t="s">
        <v>375</v>
      </c>
      <c r="E48" s="428" t="s">
        <v>376</v>
      </c>
      <c r="F48" s="426" t="s">
        <v>377</v>
      </c>
      <c r="G48" s="414" t="s">
        <v>318</v>
      </c>
      <c r="H48" s="41" t="s">
        <v>378</v>
      </c>
      <c r="I48" s="415">
        <v>3.8</v>
      </c>
      <c r="J48" s="422">
        <v>48</v>
      </c>
      <c r="K48" s="423">
        <v>364</v>
      </c>
      <c r="L48" s="415">
        <v>130.181116</v>
      </c>
      <c r="M48" s="418">
        <v>6248.693568000001</v>
      </c>
      <c r="N48" s="419"/>
      <c r="P48" s="420"/>
      <c r="Q48" s="421"/>
    </row>
    <row r="49" spans="1:17" s="396" customFormat="1" ht="15" customHeight="1">
      <c r="A49" s="36"/>
      <c r="C49" s="397"/>
      <c r="D49" s="428" t="s">
        <v>379</v>
      </c>
      <c r="E49" s="428" t="s">
        <v>380</v>
      </c>
      <c r="F49" s="426" t="s">
        <v>381</v>
      </c>
      <c r="G49" s="414" t="s">
        <v>318</v>
      </c>
      <c r="H49" s="41" t="s">
        <v>322</v>
      </c>
      <c r="I49" s="415">
        <v>3.1</v>
      </c>
      <c r="J49" s="422">
        <v>48</v>
      </c>
      <c r="K49" s="423">
        <v>416</v>
      </c>
      <c r="L49" s="415">
        <v>96.318976</v>
      </c>
      <c r="M49" s="418">
        <v>4623.310848</v>
      </c>
      <c r="N49" s="398"/>
      <c r="P49" s="399"/>
      <c r="Q49" s="400"/>
    </row>
    <row r="50" spans="1:17" s="131" customFormat="1" ht="15" customHeight="1">
      <c r="A50" s="1"/>
      <c r="C50" s="411"/>
      <c r="D50" s="428" t="s">
        <v>382</v>
      </c>
      <c r="E50" s="428" t="s">
        <v>383</v>
      </c>
      <c r="F50" s="772" t="s">
        <v>384</v>
      </c>
      <c r="G50" s="414" t="s">
        <v>318</v>
      </c>
      <c r="H50" s="41" t="s">
        <v>319</v>
      </c>
      <c r="I50" s="415">
        <v>3.07</v>
      </c>
      <c r="J50" s="422">
        <v>48</v>
      </c>
      <c r="K50" s="423">
        <v>480</v>
      </c>
      <c r="L50" s="415">
        <v>97.07146800000001</v>
      </c>
      <c r="M50" s="418">
        <v>4659.430464000001</v>
      </c>
      <c r="N50" s="419"/>
      <c r="P50" s="420"/>
      <c r="Q50" s="421"/>
    </row>
    <row r="51" spans="1:17" s="131" customFormat="1" ht="15" customHeight="1" hidden="1">
      <c r="A51" s="1"/>
      <c r="C51" s="411"/>
      <c r="D51" s="429">
        <v>34470005</v>
      </c>
      <c r="E51" s="428" t="s">
        <v>385</v>
      </c>
      <c r="F51" s="773"/>
      <c r="G51" s="430" t="s">
        <v>386</v>
      </c>
      <c r="H51" s="41" t="s">
        <v>319</v>
      </c>
      <c r="I51" s="415">
        <v>2.2</v>
      </c>
      <c r="J51" s="422">
        <v>64</v>
      </c>
      <c r="K51" s="423">
        <v>576</v>
      </c>
      <c r="L51" s="415">
        <v>0</v>
      </c>
      <c r="M51" s="418">
        <v>0</v>
      </c>
      <c r="N51" s="419"/>
      <c r="P51" s="420"/>
      <c r="Q51" s="421"/>
    </row>
    <row r="52" spans="1:17" s="131" customFormat="1" ht="15" customHeight="1">
      <c r="A52" s="1"/>
      <c r="C52" s="411"/>
      <c r="D52" s="429">
        <v>34470195</v>
      </c>
      <c r="E52" s="428" t="s">
        <v>383</v>
      </c>
      <c r="F52" s="773"/>
      <c r="G52" s="414" t="s">
        <v>387</v>
      </c>
      <c r="H52" s="41" t="s">
        <v>327</v>
      </c>
      <c r="I52" s="415">
        <v>3.4</v>
      </c>
      <c r="J52" s="422">
        <v>50</v>
      </c>
      <c r="K52" s="423">
        <v>448</v>
      </c>
      <c r="L52" s="415">
        <v>107.60635599999999</v>
      </c>
      <c r="M52" s="418">
        <v>5380.3178</v>
      </c>
      <c r="N52" s="419"/>
      <c r="P52" s="420"/>
      <c r="Q52" s="421"/>
    </row>
    <row r="53" spans="1:17" s="131" customFormat="1" ht="15" customHeight="1">
      <c r="A53" s="1"/>
      <c r="C53" s="411"/>
      <c r="D53" s="428" t="s">
        <v>388</v>
      </c>
      <c r="E53" s="428" t="s">
        <v>389</v>
      </c>
      <c r="F53" s="772" t="s">
        <v>390</v>
      </c>
      <c r="G53" s="414" t="s">
        <v>318</v>
      </c>
      <c r="H53" s="41" t="s">
        <v>391</v>
      </c>
      <c r="I53" s="415">
        <v>3.1</v>
      </c>
      <c r="J53" s="422">
        <v>48</v>
      </c>
      <c r="K53" s="423">
        <v>416</v>
      </c>
      <c r="L53" s="415">
        <v>99.328944</v>
      </c>
      <c r="M53" s="418">
        <v>4767.789312000001</v>
      </c>
      <c r="N53" s="419"/>
      <c r="P53" s="420"/>
      <c r="Q53" s="421"/>
    </row>
    <row r="54" spans="1:17" s="131" customFormat="1" ht="15" customHeight="1" hidden="1">
      <c r="A54" s="1"/>
      <c r="C54" s="411"/>
      <c r="D54" s="428" t="s">
        <v>392</v>
      </c>
      <c r="E54" s="428" t="s">
        <v>393</v>
      </c>
      <c r="F54" s="773"/>
      <c r="G54" s="431" t="s">
        <v>386</v>
      </c>
      <c r="H54" s="41" t="s">
        <v>391</v>
      </c>
      <c r="I54" s="415">
        <v>2.2</v>
      </c>
      <c r="J54" s="422">
        <v>64</v>
      </c>
      <c r="K54" s="423">
        <v>576</v>
      </c>
      <c r="L54" s="415">
        <v>0</v>
      </c>
      <c r="M54" s="418">
        <v>0</v>
      </c>
      <c r="N54" s="419"/>
      <c r="P54" s="420"/>
      <c r="Q54" s="421"/>
    </row>
    <row r="55" spans="1:17" s="131" customFormat="1" ht="15" customHeight="1">
      <c r="A55" s="1"/>
      <c r="C55" s="411"/>
      <c r="D55" s="428" t="s">
        <v>394</v>
      </c>
      <c r="E55" s="428" t="s">
        <v>395</v>
      </c>
      <c r="F55" s="432" t="s">
        <v>396</v>
      </c>
      <c r="G55" s="414" t="s">
        <v>318</v>
      </c>
      <c r="H55" s="41" t="s">
        <v>319</v>
      </c>
      <c r="I55" s="415">
        <v>3.1</v>
      </c>
      <c r="J55" s="422">
        <v>48</v>
      </c>
      <c r="K55" s="423">
        <v>416</v>
      </c>
      <c r="L55" s="415">
        <v>99.328944</v>
      </c>
      <c r="M55" s="418">
        <v>4767.789312000001</v>
      </c>
      <c r="N55" s="419"/>
      <c r="P55" s="420"/>
      <c r="Q55" s="421"/>
    </row>
    <row r="56" spans="1:17" s="131" customFormat="1" ht="15" customHeight="1">
      <c r="A56" s="1"/>
      <c r="C56" s="411"/>
      <c r="D56" s="428" t="s">
        <v>397</v>
      </c>
      <c r="E56" s="428" t="s">
        <v>398</v>
      </c>
      <c r="F56" s="432" t="s">
        <v>399</v>
      </c>
      <c r="G56" s="414" t="s">
        <v>318</v>
      </c>
      <c r="H56" s="41" t="s">
        <v>374</v>
      </c>
      <c r="I56" s="415">
        <v>3.1</v>
      </c>
      <c r="J56" s="422">
        <v>48</v>
      </c>
      <c r="K56" s="423">
        <v>416</v>
      </c>
      <c r="L56" s="415">
        <v>99.328944</v>
      </c>
      <c r="M56" s="418">
        <v>4767.789312000001</v>
      </c>
      <c r="N56" s="419"/>
      <c r="P56" s="420"/>
      <c r="Q56" s="421"/>
    </row>
    <row r="57" spans="1:17" s="131" customFormat="1" ht="15" customHeight="1" hidden="1">
      <c r="A57" s="1"/>
      <c r="C57" s="411"/>
      <c r="D57" s="428" t="s">
        <v>400</v>
      </c>
      <c r="E57" s="428" t="s">
        <v>401</v>
      </c>
      <c r="F57" s="432" t="s">
        <v>402</v>
      </c>
      <c r="G57" s="414" t="s">
        <v>318</v>
      </c>
      <c r="H57" s="41" t="s">
        <v>319</v>
      </c>
      <c r="I57" s="415">
        <v>3.1</v>
      </c>
      <c r="J57" s="422">
        <v>48</v>
      </c>
      <c r="K57" s="423">
        <v>416</v>
      </c>
      <c r="L57" s="415">
        <v>0</v>
      </c>
      <c r="M57" s="418">
        <v>0</v>
      </c>
      <c r="N57" s="419"/>
      <c r="P57" s="420"/>
      <c r="Q57" s="421"/>
    </row>
    <row r="58" spans="1:17" s="131" customFormat="1" ht="15" customHeight="1">
      <c r="A58" s="1"/>
      <c r="C58" s="411"/>
      <c r="D58" s="428" t="s">
        <v>403</v>
      </c>
      <c r="E58" s="428" t="s">
        <v>404</v>
      </c>
      <c r="F58" s="426" t="s">
        <v>405</v>
      </c>
      <c r="G58" s="414" t="s">
        <v>318</v>
      </c>
      <c r="H58" s="41" t="s">
        <v>319</v>
      </c>
      <c r="I58" s="415">
        <v>3.1</v>
      </c>
      <c r="J58" s="422">
        <v>48</v>
      </c>
      <c r="K58" s="423">
        <v>416</v>
      </c>
      <c r="L58" s="415">
        <v>99.328944</v>
      </c>
      <c r="M58" s="418">
        <v>4767.789312000001</v>
      </c>
      <c r="N58" s="419"/>
      <c r="P58" s="420"/>
      <c r="Q58" s="421"/>
    </row>
    <row r="59" spans="1:17" s="131" customFormat="1" ht="15" customHeight="1" hidden="1">
      <c r="A59" s="1"/>
      <c r="C59" s="411"/>
      <c r="D59" s="428" t="s">
        <v>406</v>
      </c>
      <c r="E59" s="433" t="s">
        <v>407</v>
      </c>
      <c r="F59" s="426" t="s">
        <v>408</v>
      </c>
      <c r="G59" s="414" t="s">
        <v>318</v>
      </c>
      <c r="H59" s="41" t="s">
        <v>319</v>
      </c>
      <c r="I59" s="415">
        <v>3.1</v>
      </c>
      <c r="J59" s="422">
        <v>48</v>
      </c>
      <c r="K59" s="423">
        <v>416</v>
      </c>
      <c r="L59" s="415">
        <v>0</v>
      </c>
      <c r="M59" s="418">
        <v>0</v>
      </c>
      <c r="N59" s="419"/>
      <c r="P59" s="420"/>
      <c r="Q59" s="421"/>
    </row>
    <row r="60" spans="1:17" s="131" customFormat="1" ht="27.75" customHeight="1" hidden="1">
      <c r="A60" s="1"/>
      <c r="C60" s="411"/>
      <c r="D60" s="433" t="s">
        <v>409</v>
      </c>
      <c r="E60" s="433" t="s">
        <v>410</v>
      </c>
      <c r="F60" s="426" t="s">
        <v>411</v>
      </c>
      <c r="G60" s="414" t="s">
        <v>318</v>
      </c>
      <c r="H60" s="41" t="s">
        <v>319</v>
      </c>
      <c r="I60" s="415">
        <v>3.1</v>
      </c>
      <c r="J60" s="422">
        <v>48</v>
      </c>
      <c r="K60" s="423">
        <v>416</v>
      </c>
      <c r="L60" s="415">
        <v>0</v>
      </c>
      <c r="M60" s="418">
        <v>0</v>
      </c>
      <c r="N60" s="419"/>
      <c r="P60" s="420"/>
      <c r="Q60" s="421"/>
    </row>
    <row r="61" spans="1:17" s="131" customFormat="1" ht="15" customHeight="1">
      <c r="A61" s="1"/>
      <c r="C61" s="411"/>
      <c r="D61" s="428" t="s">
        <v>412</v>
      </c>
      <c r="E61" s="428" t="s">
        <v>413</v>
      </c>
      <c r="F61" s="426" t="s">
        <v>414</v>
      </c>
      <c r="G61" s="414" t="s">
        <v>318</v>
      </c>
      <c r="H61" s="41" t="s">
        <v>378</v>
      </c>
      <c r="I61" s="415">
        <v>3.8</v>
      </c>
      <c r="J61" s="422">
        <v>48</v>
      </c>
      <c r="K61" s="423">
        <v>364</v>
      </c>
      <c r="L61" s="415">
        <v>134.696068</v>
      </c>
      <c r="M61" s="418">
        <v>6465.411264</v>
      </c>
      <c r="N61" s="419"/>
      <c r="P61" s="420"/>
      <c r="Q61" s="421"/>
    </row>
    <row r="62" spans="1:17" s="131" customFormat="1" ht="15" customHeight="1" hidden="1">
      <c r="A62" s="1"/>
      <c r="C62" s="411"/>
      <c r="D62" s="428">
        <v>34482005</v>
      </c>
      <c r="E62" s="428" t="s">
        <v>415</v>
      </c>
      <c r="F62" s="426" t="s">
        <v>416</v>
      </c>
      <c r="G62" s="414" t="s">
        <v>318</v>
      </c>
      <c r="H62" s="41" t="s">
        <v>319</v>
      </c>
      <c r="I62" s="415">
        <v>3.7</v>
      </c>
      <c r="J62" s="422">
        <v>48</v>
      </c>
      <c r="K62" s="423">
        <v>250</v>
      </c>
      <c r="L62" s="415">
        <v>128.676132</v>
      </c>
      <c r="M62" s="418">
        <v>6176.454336</v>
      </c>
      <c r="N62" s="419"/>
      <c r="P62" s="420"/>
      <c r="Q62" s="421"/>
    </row>
    <row r="63" spans="1:17" s="131" customFormat="1" ht="15" customHeight="1" hidden="1">
      <c r="A63" s="1"/>
      <c r="C63" s="411"/>
      <c r="D63" s="428">
        <v>34481005</v>
      </c>
      <c r="E63" s="428" t="s">
        <v>417</v>
      </c>
      <c r="F63" s="426" t="s">
        <v>418</v>
      </c>
      <c r="G63" s="414" t="s">
        <v>318</v>
      </c>
      <c r="H63" s="41" t="s">
        <v>365</v>
      </c>
      <c r="I63" s="415">
        <v>3.7</v>
      </c>
      <c r="J63" s="422">
        <v>48</v>
      </c>
      <c r="K63" s="423">
        <v>250</v>
      </c>
      <c r="L63" s="415">
        <v>128.676132</v>
      </c>
      <c r="M63" s="418">
        <v>6176.454336</v>
      </c>
      <c r="N63" s="419"/>
      <c r="P63" s="420"/>
      <c r="Q63" s="421"/>
    </row>
    <row r="64" spans="1:17" s="131" customFormat="1" ht="26.25" customHeight="1">
      <c r="A64" s="1"/>
      <c r="C64" s="411"/>
      <c r="D64" s="429">
        <v>34477220</v>
      </c>
      <c r="E64" s="428" t="s">
        <v>419</v>
      </c>
      <c r="F64" s="426" t="s">
        <v>420</v>
      </c>
      <c r="G64" s="414" t="s">
        <v>318</v>
      </c>
      <c r="H64" s="41" t="s">
        <v>421</v>
      </c>
      <c r="I64" s="415">
        <v>3.8</v>
      </c>
      <c r="J64" s="422">
        <v>48</v>
      </c>
      <c r="K64" s="423">
        <v>364</v>
      </c>
      <c r="L64" s="415">
        <v>137.706036</v>
      </c>
      <c r="M64" s="418">
        <v>6609.889728</v>
      </c>
      <c r="N64" s="419"/>
      <c r="P64" s="420"/>
      <c r="Q64" s="421"/>
    </row>
    <row r="65" spans="1:17" s="131" customFormat="1" ht="15" customHeight="1">
      <c r="A65" s="1"/>
      <c r="C65" s="411"/>
      <c r="D65" s="428" t="s">
        <v>422</v>
      </c>
      <c r="E65" s="428" t="s">
        <v>423</v>
      </c>
      <c r="F65" s="426" t="s">
        <v>424</v>
      </c>
      <c r="G65" s="414" t="s">
        <v>318</v>
      </c>
      <c r="H65" s="41" t="s">
        <v>378</v>
      </c>
      <c r="I65" s="415">
        <v>3.8</v>
      </c>
      <c r="J65" s="422">
        <v>48</v>
      </c>
      <c r="K65" s="423">
        <v>364</v>
      </c>
      <c r="L65" s="415">
        <v>134.696068</v>
      </c>
      <c r="M65" s="418">
        <v>6465.411264</v>
      </c>
      <c r="N65" s="419"/>
      <c r="P65" s="420"/>
      <c r="Q65" s="421"/>
    </row>
    <row r="66" spans="1:17" s="131" customFormat="1" ht="15" customHeight="1">
      <c r="A66" s="1"/>
      <c r="C66" s="411"/>
      <c r="D66" s="428" t="s">
        <v>425</v>
      </c>
      <c r="E66" s="412" t="s">
        <v>426</v>
      </c>
      <c r="F66" s="426" t="s">
        <v>427</v>
      </c>
      <c r="G66" s="414" t="s">
        <v>318</v>
      </c>
      <c r="H66" s="41" t="s">
        <v>327</v>
      </c>
      <c r="I66" s="415">
        <v>3.9</v>
      </c>
      <c r="J66" s="422">
        <v>48</v>
      </c>
      <c r="K66" s="423">
        <v>416</v>
      </c>
      <c r="L66" s="415">
        <v>142.220988</v>
      </c>
      <c r="M66" s="418">
        <v>6826.607424</v>
      </c>
      <c r="N66" s="419"/>
      <c r="P66" s="420"/>
      <c r="Q66" s="421"/>
    </row>
    <row r="67" spans="1:17" s="131" customFormat="1" ht="15" customHeight="1">
      <c r="A67" s="1"/>
      <c r="C67" s="411"/>
      <c r="D67" s="428" t="s">
        <v>428</v>
      </c>
      <c r="E67" s="428" t="s">
        <v>316</v>
      </c>
      <c r="F67" s="426" t="s">
        <v>429</v>
      </c>
      <c r="G67" s="434" t="s">
        <v>318</v>
      </c>
      <c r="H67" s="57" t="s">
        <v>374</v>
      </c>
      <c r="I67" s="415">
        <v>3.7</v>
      </c>
      <c r="J67" s="422">
        <v>48</v>
      </c>
      <c r="K67" s="423">
        <v>364</v>
      </c>
      <c r="L67" s="415">
        <v>133.19108400000002</v>
      </c>
      <c r="M67" s="418">
        <v>6393.172032</v>
      </c>
      <c r="N67" s="419"/>
      <c r="P67" s="420"/>
      <c r="Q67" s="421"/>
    </row>
    <row r="68" spans="1:17" s="131" customFormat="1" ht="15" customHeight="1" hidden="1">
      <c r="A68" s="1"/>
      <c r="C68" s="411"/>
      <c r="D68" s="428" t="s">
        <v>430</v>
      </c>
      <c r="E68" s="428" t="s">
        <v>316</v>
      </c>
      <c r="F68" s="772" t="s">
        <v>431</v>
      </c>
      <c r="G68" s="414" t="s">
        <v>318</v>
      </c>
      <c r="H68" s="41" t="s">
        <v>319</v>
      </c>
      <c r="I68" s="415">
        <v>3.07</v>
      </c>
      <c r="J68" s="422">
        <v>48</v>
      </c>
      <c r="K68" s="423">
        <v>416</v>
      </c>
      <c r="L68" s="415">
        <v>0</v>
      </c>
      <c r="M68" s="418">
        <v>0</v>
      </c>
      <c r="N68" s="419"/>
      <c r="P68" s="420"/>
      <c r="Q68" s="421"/>
    </row>
    <row r="69" spans="1:17" s="131" customFormat="1" ht="15" customHeight="1" hidden="1">
      <c r="A69" s="1"/>
      <c r="C69" s="411"/>
      <c r="D69" s="429">
        <v>34481710</v>
      </c>
      <c r="E69" s="428" t="s">
        <v>316</v>
      </c>
      <c r="F69" s="775"/>
      <c r="G69" s="434" t="s">
        <v>432</v>
      </c>
      <c r="H69" s="41" t="s">
        <v>319</v>
      </c>
      <c r="I69" s="415">
        <v>4.85</v>
      </c>
      <c r="J69" s="422">
        <v>32</v>
      </c>
      <c r="K69" s="423">
        <v>256</v>
      </c>
      <c r="L69" s="415">
        <v>0</v>
      </c>
      <c r="M69" s="418">
        <v>0</v>
      </c>
      <c r="N69" s="419"/>
      <c r="P69" s="420"/>
      <c r="Q69" s="421"/>
    </row>
    <row r="70" spans="1:17" s="131" customFormat="1" ht="31.5" customHeight="1" hidden="1">
      <c r="A70" s="1"/>
      <c r="C70" s="411"/>
      <c r="D70" s="433">
        <v>34481750</v>
      </c>
      <c r="E70" s="433" t="s">
        <v>316</v>
      </c>
      <c r="F70" s="432" t="s">
        <v>433</v>
      </c>
      <c r="G70" s="414" t="s">
        <v>318</v>
      </c>
      <c r="H70" s="41" t="s">
        <v>319</v>
      </c>
      <c r="I70" s="415">
        <v>3.7</v>
      </c>
      <c r="J70" s="422">
        <v>48</v>
      </c>
      <c r="K70" s="423">
        <v>250</v>
      </c>
      <c r="L70" s="415">
        <v>128.676132</v>
      </c>
      <c r="M70" s="418">
        <v>6176.454336</v>
      </c>
      <c r="N70" s="419"/>
      <c r="P70" s="420"/>
      <c r="Q70" s="421"/>
    </row>
    <row r="71" spans="1:17" s="131" customFormat="1" ht="32.25" customHeight="1" hidden="1">
      <c r="A71" s="1"/>
      <c r="C71" s="411"/>
      <c r="D71" s="433" t="s">
        <v>434</v>
      </c>
      <c r="E71" s="433" t="s">
        <v>316</v>
      </c>
      <c r="F71" s="432" t="s">
        <v>435</v>
      </c>
      <c r="G71" s="414" t="s">
        <v>318</v>
      </c>
      <c r="H71" s="41" t="s">
        <v>319</v>
      </c>
      <c r="I71" s="415">
        <v>3.2</v>
      </c>
      <c r="J71" s="422">
        <v>48</v>
      </c>
      <c r="K71" s="423">
        <v>320</v>
      </c>
      <c r="L71" s="415">
        <v>0</v>
      </c>
      <c r="M71" s="418">
        <v>0</v>
      </c>
      <c r="N71" s="419"/>
      <c r="P71" s="420"/>
      <c r="Q71" s="421"/>
    </row>
    <row r="72" spans="1:17" s="131" customFormat="1" ht="30" customHeight="1">
      <c r="A72" s="1"/>
      <c r="C72" s="411"/>
      <c r="D72" s="433" t="s">
        <v>436</v>
      </c>
      <c r="E72" s="433" t="s">
        <v>316</v>
      </c>
      <c r="F72" s="432" t="s">
        <v>437</v>
      </c>
      <c r="G72" s="414" t="s">
        <v>318</v>
      </c>
      <c r="H72" s="41" t="s">
        <v>319</v>
      </c>
      <c r="I72" s="415">
        <v>3.2</v>
      </c>
      <c r="J72" s="422">
        <v>48</v>
      </c>
      <c r="K72" s="423">
        <v>320</v>
      </c>
      <c r="L72" s="415">
        <v>127.92364</v>
      </c>
      <c r="M72" s="418">
        <v>6140.334720000001</v>
      </c>
      <c r="N72" s="419"/>
      <c r="P72" s="420"/>
      <c r="Q72" s="421"/>
    </row>
    <row r="73" spans="1:17" s="50" customFormat="1" ht="3.75" customHeight="1" thickBot="1">
      <c r="A73" s="49"/>
      <c r="C73" s="110"/>
      <c r="D73" s="435"/>
      <c r="E73" s="263"/>
      <c r="F73" s="146"/>
      <c r="G73" s="263"/>
      <c r="H73" s="114"/>
      <c r="I73" s="115"/>
      <c r="J73" s="114"/>
      <c r="K73" s="114"/>
      <c r="L73" s="117"/>
      <c r="M73" s="117"/>
      <c r="N73" s="118"/>
      <c r="P73" s="53"/>
      <c r="Q73" s="54"/>
    </row>
    <row r="74" spans="1:18" s="250" customFormat="1" ht="18.75" customHeight="1" thickTop="1">
      <c r="A74" s="241"/>
      <c r="B74" s="242"/>
      <c r="C74" s="243"/>
      <c r="D74" s="244" t="s">
        <v>273</v>
      </c>
      <c r="E74" s="245"/>
      <c r="F74" s="246"/>
      <c r="G74" s="245"/>
      <c r="H74" s="247"/>
      <c r="I74" s="247"/>
      <c r="J74" s="247"/>
      <c r="K74" s="247"/>
      <c r="L74" s="243"/>
      <c r="M74" s="243"/>
      <c r="N74" s="243"/>
      <c r="O74" s="243"/>
      <c r="P74" s="242"/>
      <c r="Q74" s="248"/>
      <c r="R74" s="249"/>
    </row>
    <row r="75" spans="1:18" s="251" customFormat="1" ht="43.5" customHeight="1">
      <c r="A75" s="241"/>
      <c r="C75" s="732" t="s">
        <v>274</v>
      </c>
      <c r="D75" s="732"/>
      <c r="E75" s="732"/>
      <c r="F75" s="732"/>
      <c r="G75" s="732"/>
      <c r="H75" s="732"/>
      <c r="I75" s="732"/>
      <c r="J75" s="732"/>
      <c r="K75" s="732"/>
      <c r="L75" s="732"/>
      <c r="M75" s="732"/>
      <c r="N75" s="253"/>
      <c r="O75" s="253"/>
      <c r="Q75" s="248"/>
      <c r="R75" s="249"/>
    </row>
    <row r="76" spans="1:17" s="437" customFormat="1" ht="15.75" customHeight="1">
      <c r="A76" s="436"/>
      <c r="C76" s="776" t="s">
        <v>178</v>
      </c>
      <c r="D76" s="776"/>
      <c r="E76" s="776"/>
      <c r="F76" s="776"/>
      <c r="G76" s="776"/>
      <c r="H76" s="776"/>
      <c r="I76" s="776"/>
      <c r="J76" s="776"/>
      <c r="K76" s="776"/>
      <c r="L76" s="776"/>
      <c r="M76" s="776"/>
      <c r="N76" s="776"/>
      <c r="P76" s="438"/>
      <c r="Q76" s="439"/>
    </row>
    <row r="77" spans="1:17" s="437" customFormat="1" ht="18.75" customHeight="1">
      <c r="A77" s="436"/>
      <c r="C77" s="777" t="s">
        <v>438</v>
      </c>
      <c r="D77" s="777"/>
      <c r="E77" s="777"/>
      <c r="F77" s="777"/>
      <c r="G77" s="777"/>
      <c r="H77" s="777"/>
      <c r="I77" s="777"/>
      <c r="J77" s="777"/>
      <c r="K77" s="777"/>
      <c r="L77" s="777"/>
      <c r="M77" s="777"/>
      <c r="N77" s="777"/>
      <c r="P77" s="438"/>
      <c r="Q77" s="439"/>
    </row>
    <row r="78" spans="1:18" s="441" customFormat="1" ht="15" customHeight="1" hidden="1">
      <c r="A78" s="440"/>
      <c r="C78" s="442" t="s">
        <v>439</v>
      </c>
      <c r="E78" s="443"/>
      <c r="F78" s="443"/>
      <c r="G78" s="443"/>
      <c r="H78" s="443"/>
      <c r="I78" s="444"/>
      <c r="J78" s="444"/>
      <c r="K78" s="444"/>
      <c r="L78" s="444"/>
      <c r="M78" s="444"/>
      <c r="N78" s="444"/>
      <c r="O78" s="444"/>
      <c r="P78" s="438"/>
      <c r="Q78" s="439"/>
      <c r="R78" s="445"/>
    </row>
    <row r="79" spans="1:17" s="50" customFormat="1" ht="5.25" customHeight="1">
      <c r="A79" s="49"/>
      <c r="C79" s="132"/>
      <c r="D79" s="446"/>
      <c r="E79" s="447"/>
      <c r="F79" s="150"/>
      <c r="G79" s="151"/>
      <c r="H79" s="123"/>
      <c r="I79" s="124"/>
      <c r="J79" s="123"/>
      <c r="K79" s="123"/>
      <c r="L79" s="119"/>
      <c r="M79" s="119"/>
      <c r="N79" s="119"/>
      <c r="P79" s="53"/>
      <c r="Q79" s="54"/>
    </row>
    <row r="80" spans="1:17" s="134" customFormat="1" ht="26.25">
      <c r="A80" s="133"/>
      <c r="C80" s="778" t="s">
        <v>179</v>
      </c>
      <c r="D80" s="778"/>
      <c r="E80" s="778"/>
      <c r="F80" s="778"/>
      <c r="G80" s="778"/>
      <c r="H80" s="778"/>
      <c r="I80" s="778"/>
      <c r="J80" s="778"/>
      <c r="K80" s="778"/>
      <c r="L80" s="778"/>
      <c r="M80" s="778"/>
      <c r="N80" s="119"/>
      <c r="O80" s="50"/>
      <c r="P80" s="448"/>
      <c r="Q80" s="135"/>
    </row>
    <row r="81" spans="1:17" ht="15" customHeight="1" thickBot="1">
      <c r="A81" s="1"/>
      <c r="C81" s="136"/>
      <c r="D81" s="137"/>
      <c r="E81" s="138"/>
      <c r="G81" s="139"/>
      <c r="H81" s="139"/>
      <c r="I81" s="139"/>
      <c r="J81" s="139"/>
      <c r="K81" s="139"/>
      <c r="L81" s="140"/>
      <c r="M81" s="140"/>
      <c r="N81" s="18" t="s">
        <v>2</v>
      </c>
      <c r="O81" s="50"/>
      <c r="P81" s="11"/>
      <c r="Q81" s="2"/>
    </row>
    <row r="82" spans="1:17" ht="7.5" customHeight="1" thickTop="1">
      <c r="A82" s="1"/>
      <c r="C82" s="19"/>
      <c r="D82" s="141"/>
      <c r="E82" s="142"/>
      <c r="F82" s="23"/>
      <c r="G82" s="23"/>
      <c r="H82" s="23"/>
      <c r="I82" s="23"/>
      <c r="J82" s="23"/>
      <c r="K82" s="23"/>
      <c r="L82" s="26"/>
      <c r="M82" s="26"/>
      <c r="N82" s="259"/>
      <c r="O82" s="50"/>
      <c r="P82" s="11"/>
      <c r="Q82" s="2"/>
    </row>
    <row r="83" spans="1:17" s="50" customFormat="1" ht="29.25" customHeight="1" thickBot="1">
      <c r="A83" s="49"/>
      <c r="B83" s="52"/>
      <c r="C83" s="143"/>
      <c r="D83" s="696" t="s">
        <v>180</v>
      </c>
      <c r="E83" s="696"/>
      <c r="F83" s="696"/>
      <c r="G83" s="697"/>
      <c r="H83" s="698" t="s">
        <v>181</v>
      </c>
      <c r="I83" s="697"/>
      <c r="J83" s="698" t="s">
        <v>182</v>
      </c>
      <c r="K83" s="696"/>
      <c r="L83" s="696"/>
      <c r="M83" s="696"/>
      <c r="N83" s="52"/>
      <c r="P83" s="53"/>
      <c r="Q83" s="54"/>
    </row>
    <row r="84" spans="1:17" s="50" customFormat="1" ht="26.25" customHeight="1" thickTop="1">
      <c r="A84" s="49"/>
      <c r="C84" s="143"/>
      <c r="D84" s="699" t="s">
        <v>183</v>
      </c>
      <c r="E84" s="699"/>
      <c r="F84" s="699"/>
      <c r="G84" s="700"/>
      <c r="H84" s="701" t="s">
        <v>184</v>
      </c>
      <c r="I84" s="702"/>
      <c r="J84" s="703">
        <v>508</v>
      </c>
      <c r="K84" s="704"/>
      <c r="L84" s="704"/>
      <c r="M84" s="704"/>
      <c r="N84" s="52"/>
      <c r="P84" s="53"/>
      <c r="Q84" s="54"/>
    </row>
    <row r="85" spans="1:17" s="50" customFormat="1" ht="15" customHeight="1">
      <c r="A85" s="49"/>
      <c r="C85" s="143"/>
      <c r="D85" s="705" t="s">
        <v>185</v>
      </c>
      <c r="E85" s="705"/>
      <c r="F85" s="705"/>
      <c r="G85" s="706"/>
      <c r="H85" s="707" t="s">
        <v>186</v>
      </c>
      <c r="I85" s="708"/>
      <c r="J85" s="709">
        <v>1830</v>
      </c>
      <c r="K85" s="710"/>
      <c r="L85" s="710"/>
      <c r="M85" s="710"/>
      <c r="N85" s="52"/>
      <c r="P85" s="53"/>
      <c r="Q85" s="54"/>
    </row>
    <row r="86" spans="1:17" s="50" customFormat="1" ht="15" customHeight="1">
      <c r="A86" s="49"/>
      <c r="C86" s="143"/>
      <c r="D86" s="705" t="s">
        <v>187</v>
      </c>
      <c r="E86" s="705"/>
      <c r="F86" s="705"/>
      <c r="G86" s="706"/>
      <c r="H86" s="707" t="s">
        <v>188</v>
      </c>
      <c r="I86" s="708"/>
      <c r="J86" s="709">
        <v>18.48</v>
      </c>
      <c r="K86" s="710"/>
      <c r="L86" s="710"/>
      <c r="M86" s="710"/>
      <c r="N86" s="52"/>
      <c r="P86" s="53"/>
      <c r="Q86" s="54"/>
    </row>
    <row r="87" spans="1:17" s="50" customFormat="1" ht="15" customHeight="1">
      <c r="A87" s="49"/>
      <c r="C87" s="143"/>
      <c r="D87" s="705" t="s">
        <v>189</v>
      </c>
      <c r="E87" s="705"/>
      <c r="F87" s="705"/>
      <c r="G87" s="706"/>
      <c r="H87" s="712" t="s">
        <v>190</v>
      </c>
      <c r="I87" s="713"/>
      <c r="J87" s="709">
        <v>76.5</v>
      </c>
      <c r="K87" s="710"/>
      <c r="L87" s="710"/>
      <c r="M87" s="710"/>
      <c r="N87" s="52"/>
      <c r="P87" s="53"/>
      <c r="Q87" s="54"/>
    </row>
    <row r="88" spans="1:17" s="50" customFormat="1" ht="15" customHeight="1">
      <c r="A88" s="49"/>
      <c r="C88" s="143"/>
      <c r="D88" s="714" t="s">
        <v>191</v>
      </c>
      <c r="E88" s="714"/>
      <c r="F88" s="714"/>
      <c r="G88" s="715"/>
      <c r="H88" s="716" t="s">
        <v>192</v>
      </c>
      <c r="I88" s="717"/>
      <c r="J88" s="709">
        <v>770.1</v>
      </c>
      <c r="K88" s="710"/>
      <c r="L88" s="710"/>
      <c r="M88" s="710"/>
      <c r="N88" s="52"/>
      <c r="P88" s="53"/>
      <c r="Q88" s="54"/>
    </row>
    <row r="89" spans="1:17" s="50" customFormat="1" ht="5.25" customHeight="1" thickBot="1">
      <c r="A89" s="49"/>
      <c r="C89" s="110"/>
      <c r="D89" s="146"/>
      <c r="E89" s="147"/>
      <c r="F89" s="148"/>
      <c r="G89" s="148"/>
      <c r="H89" s="149"/>
      <c r="I89" s="148"/>
      <c r="J89" s="114"/>
      <c r="K89" s="114"/>
      <c r="L89" s="117"/>
      <c r="M89" s="117"/>
      <c r="N89" s="118"/>
      <c r="P89" s="53"/>
      <c r="Q89" s="54"/>
    </row>
    <row r="90" spans="1:17" s="50" customFormat="1" ht="12.75" customHeight="1" hidden="1" thickTop="1">
      <c r="A90" s="49"/>
      <c r="C90" s="449" t="s">
        <v>193</v>
      </c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P90" s="53"/>
      <c r="Q90" s="54"/>
    </row>
    <row r="91" spans="1:17" s="50" customFormat="1" ht="12.75" customHeight="1" hidden="1">
      <c r="A91" s="49"/>
      <c r="C91" s="450" t="s">
        <v>194</v>
      </c>
      <c r="D91" s="268"/>
      <c r="E91" s="268"/>
      <c r="F91" s="268"/>
      <c r="G91" s="268"/>
      <c r="H91" s="268"/>
      <c r="I91" s="268"/>
      <c r="J91" s="268"/>
      <c r="K91" s="268"/>
      <c r="L91" s="268"/>
      <c r="M91" s="268"/>
      <c r="N91" s="268"/>
      <c r="O91" s="155"/>
      <c r="P91" s="156"/>
      <c r="Q91" s="54"/>
    </row>
    <row r="92" spans="1:17" s="50" customFormat="1" ht="12.75" customHeight="1" hidden="1">
      <c r="A92" s="49"/>
      <c r="C92" s="450" t="s">
        <v>195</v>
      </c>
      <c r="D92" s="451"/>
      <c r="E92" s="451"/>
      <c r="F92" s="451"/>
      <c r="G92" s="451"/>
      <c r="H92" s="451"/>
      <c r="I92" s="451"/>
      <c r="J92" s="451"/>
      <c r="K92" s="451"/>
      <c r="L92" s="451"/>
      <c r="M92" s="451"/>
      <c r="N92" s="451"/>
      <c r="O92" s="155"/>
      <c r="P92" s="156"/>
      <c r="Q92" s="54"/>
    </row>
    <row r="93" spans="1:17" s="50" customFormat="1" ht="12.75" customHeight="1" hidden="1">
      <c r="A93" s="49"/>
      <c r="C93" s="450" t="s">
        <v>196</v>
      </c>
      <c r="D93" s="451"/>
      <c r="E93" s="451"/>
      <c r="F93" s="451"/>
      <c r="G93" s="451"/>
      <c r="H93" s="451"/>
      <c r="I93" s="451"/>
      <c r="J93" s="451"/>
      <c r="K93" s="451"/>
      <c r="L93" s="451"/>
      <c r="M93" s="451"/>
      <c r="N93" s="451"/>
      <c r="O93" s="155"/>
      <c r="P93" s="156"/>
      <c r="Q93" s="54"/>
    </row>
    <row r="94" spans="1:17" s="50" customFormat="1" ht="12.75" customHeight="1" hidden="1">
      <c r="A94" s="49"/>
      <c r="C94" s="450" t="s">
        <v>197</v>
      </c>
      <c r="D94" s="452"/>
      <c r="E94" s="452"/>
      <c r="F94" s="452"/>
      <c r="G94" s="452"/>
      <c r="H94" s="452"/>
      <c r="I94" s="452"/>
      <c r="J94" s="452"/>
      <c r="K94" s="452"/>
      <c r="L94" s="452"/>
      <c r="M94" s="452"/>
      <c r="N94" s="452"/>
      <c r="O94" s="155"/>
      <c r="P94" s="156"/>
      <c r="Q94" s="54"/>
    </row>
    <row r="95" spans="1:17" s="50" customFormat="1" ht="12.75" customHeight="1" hidden="1">
      <c r="A95" s="49"/>
      <c r="C95" s="158" t="s">
        <v>198</v>
      </c>
      <c r="D95" s="452"/>
      <c r="E95" s="452"/>
      <c r="F95" s="452"/>
      <c r="G95" s="452"/>
      <c r="H95" s="452"/>
      <c r="I95" s="452"/>
      <c r="J95" s="452"/>
      <c r="K95" s="452"/>
      <c r="L95" s="452"/>
      <c r="M95" s="452"/>
      <c r="N95" s="452"/>
      <c r="O95" s="155"/>
      <c r="P95" s="156"/>
      <c r="Q95" s="54"/>
    </row>
    <row r="96" spans="1:17" s="50" customFormat="1" ht="5.25" customHeight="1" thickTop="1">
      <c r="A96" s="49"/>
      <c r="C96" s="159"/>
      <c r="D96" s="453"/>
      <c r="E96" s="271"/>
      <c r="F96" s="159"/>
      <c r="G96" s="271"/>
      <c r="H96" s="159"/>
      <c r="I96" s="159"/>
      <c r="J96" s="159"/>
      <c r="K96" s="159"/>
      <c r="L96" s="159"/>
      <c r="M96" s="159"/>
      <c r="P96" s="53"/>
      <c r="Q96" s="54"/>
    </row>
    <row r="97" spans="1:17" s="50" customFormat="1" ht="24.75" customHeight="1">
      <c r="A97" s="49"/>
      <c r="C97" s="711" t="s">
        <v>199</v>
      </c>
      <c r="D97" s="711"/>
      <c r="E97" s="711"/>
      <c r="F97" s="711"/>
      <c r="G97" s="711"/>
      <c r="H97" s="711"/>
      <c r="I97" s="711"/>
      <c r="J97" s="711"/>
      <c r="K97" s="711"/>
      <c r="L97" s="711"/>
      <c r="M97" s="711"/>
      <c r="N97" s="711"/>
      <c r="P97" s="53"/>
      <c r="Q97" s="54"/>
    </row>
    <row r="98" spans="1:17" s="50" customFormat="1" ht="9.75" customHeight="1" hidden="1">
      <c r="A98" s="49"/>
      <c r="C98" s="159" t="s">
        <v>200</v>
      </c>
      <c r="D98" s="453"/>
      <c r="E98" s="271"/>
      <c r="F98" s="159"/>
      <c r="G98" s="271"/>
      <c r="H98" s="159"/>
      <c r="I98" s="159"/>
      <c r="J98" s="159"/>
      <c r="K98" s="159"/>
      <c r="L98" s="159"/>
      <c r="M98" s="159"/>
      <c r="P98" s="53"/>
      <c r="Q98" s="54"/>
    </row>
    <row r="99" spans="1:17" s="50" customFormat="1" ht="9" customHeight="1">
      <c r="A99" s="49"/>
      <c r="D99" s="454"/>
      <c r="E99" s="272"/>
      <c r="F99" s="273"/>
      <c r="G99" s="272"/>
      <c r="H99" s="165"/>
      <c r="I99" s="165"/>
      <c r="J99" s="165"/>
      <c r="K99" s="165"/>
      <c r="P99" s="53"/>
      <c r="Q99" s="54"/>
    </row>
    <row r="100" spans="1:17" s="50" customFormat="1" ht="10.5" customHeight="1">
      <c r="A100" s="49"/>
      <c r="B100" s="49"/>
      <c r="C100" s="53"/>
      <c r="D100" s="455"/>
      <c r="E100" s="275"/>
      <c r="F100" s="276"/>
      <c r="G100" s="275"/>
      <c r="H100" s="166"/>
      <c r="I100" s="166"/>
      <c r="J100" s="166"/>
      <c r="K100" s="166"/>
      <c r="L100" s="53"/>
      <c r="M100" s="53"/>
      <c r="N100" s="53"/>
      <c r="O100" s="53"/>
      <c r="P100" s="53"/>
      <c r="Q100" s="54"/>
    </row>
    <row r="101" spans="1:11" s="2" customFormat="1" ht="9.75" customHeight="1">
      <c r="A101" s="1"/>
      <c r="D101" s="388"/>
      <c r="E101" s="168"/>
      <c r="F101" s="169"/>
      <c r="G101" s="171"/>
      <c r="H101" s="3"/>
      <c r="I101" s="3"/>
      <c r="J101" s="3"/>
      <c r="K101" s="3"/>
    </row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</sheetData>
  <sheetProtection/>
  <mergeCells count="47">
    <mergeCell ref="C97:N97"/>
    <mergeCell ref="D87:G87"/>
    <mergeCell ref="H87:I87"/>
    <mergeCell ref="J87:M87"/>
    <mergeCell ref="D88:G88"/>
    <mergeCell ref="H88:I88"/>
    <mergeCell ref="J88:M88"/>
    <mergeCell ref="D85:G85"/>
    <mergeCell ref="H85:I85"/>
    <mergeCell ref="J85:M85"/>
    <mergeCell ref="D86:G86"/>
    <mergeCell ref="H86:I86"/>
    <mergeCell ref="J86:M86"/>
    <mergeCell ref="D83:G83"/>
    <mergeCell ref="H83:I83"/>
    <mergeCell ref="J83:M83"/>
    <mergeCell ref="D84:G84"/>
    <mergeCell ref="H84:I84"/>
    <mergeCell ref="J84:M84"/>
    <mergeCell ref="F53:F54"/>
    <mergeCell ref="F68:F69"/>
    <mergeCell ref="C75:M75"/>
    <mergeCell ref="C76:N76"/>
    <mergeCell ref="C77:N77"/>
    <mergeCell ref="C80:M80"/>
    <mergeCell ref="F31:F32"/>
    <mergeCell ref="F39:F40"/>
    <mergeCell ref="F41:F42"/>
    <mergeCell ref="F44:F45"/>
    <mergeCell ref="L45:M45"/>
    <mergeCell ref="F50:F52"/>
    <mergeCell ref="K13:K14"/>
    <mergeCell ref="L13:M13"/>
    <mergeCell ref="F16:F17"/>
    <mergeCell ref="F18:F19"/>
    <mergeCell ref="F22:F24"/>
    <mergeCell ref="F28:F29"/>
    <mergeCell ref="C5:N5"/>
    <mergeCell ref="C6:N6"/>
    <mergeCell ref="H11:N11"/>
    <mergeCell ref="D13:D14"/>
    <mergeCell ref="E13:E14"/>
    <mergeCell ref="F13:F14"/>
    <mergeCell ref="G13:G14"/>
    <mergeCell ref="H13:H14"/>
    <mergeCell ref="I13:I14"/>
    <mergeCell ref="J13:J14"/>
  </mergeCells>
  <hyperlinks>
    <hyperlink ref="D10" location="Меню!A1" display="Вернуться назад"/>
  </hyperlinks>
  <printOptions horizontalCentered="1"/>
  <pageMargins left="0.7874015748031497" right="0.7874015748031497" top="0.3937007874015748" bottom="0.3937007874015748" header="0" footer="0"/>
  <pageSetup fitToHeight="0" horizontalDpi="600" verticalDpi="600" orientation="portrait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tabColor rgb="FF00B0F0"/>
  </sheetPr>
  <dimension ref="A1:Q730"/>
  <sheetViews>
    <sheetView showGridLines="0" zoomScaleSheetLayoutView="100" zoomScalePageLayoutView="0" workbookViewId="0" topLeftCell="A1">
      <pane ySplit="14" topLeftCell="A15" activePane="bottomLeft" state="frozen"/>
      <selection pane="topLeft" activeCell="B16" sqref="B16:H16"/>
      <selection pane="bottomLeft" activeCell="C198" sqref="C198:K199"/>
    </sheetView>
  </sheetViews>
  <sheetFormatPr defaultColWidth="0" defaultRowHeight="12.75" customHeight="1" zeroHeight="1"/>
  <cols>
    <col min="1" max="3" width="1.28515625" style="505" customWidth="1"/>
    <col min="4" max="4" width="28.421875" style="506" customWidth="1"/>
    <col min="5" max="5" width="18.8515625" style="505" customWidth="1"/>
    <col min="6" max="6" width="20.8515625" style="505" customWidth="1"/>
    <col min="7" max="9" width="8.140625" style="505" customWidth="1"/>
    <col min="10" max="11" width="9.8515625" style="505" customWidth="1"/>
    <col min="12" max="14" width="1.28515625" style="505" customWidth="1"/>
    <col min="15" max="15" width="1.421875" style="505" customWidth="1"/>
    <col min="16" max="16384" width="0" style="505" hidden="1" customWidth="1"/>
  </cols>
  <sheetData>
    <row r="1" spans="1:9" s="503" customFormat="1" ht="8.25" customHeight="1">
      <c r="A1" s="502"/>
      <c r="F1" s="504"/>
      <c r="G1" s="504"/>
      <c r="H1" s="504"/>
      <c r="I1" s="504"/>
    </row>
    <row r="2" spans="1:13" s="503" customFormat="1" ht="8.25" customHeight="1">
      <c r="A2" s="502"/>
      <c r="B2" s="505"/>
      <c r="C2" s="505"/>
      <c r="D2" s="506"/>
      <c r="E2" s="507"/>
      <c r="F2" s="508"/>
      <c r="G2" s="508"/>
      <c r="H2" s="508"/>
      <c r="I2" s="508"/>
      <c r="J2" s="505"/>
      <c r="K2" s="505"/>
      <c r="L2" s="505"/>
      <c r="M2" s="505"/>
    </row>
    <row r="3" spans="1:15" ht="12" customHeight="1">
      <c r="A3" s="502"/>
      <c r="E3" s="507"/>
      <c r="F3" s="508"/>
      <c r="G3" s="508"/>
      <c r="H3" s="508"/>
      <c r="I3" s="508"/>
      <c r="N3" s="509"/>
      <c r="O3" s="503"/>
    </row>
    <row r="4" spans="1:15" ht="42" customHeight="1">
      <c r="A4" s="502"/>
      <c r="E4" s="507"/>
      <c r="F4" s="508"/>
      <c r="G4" s="508"/>
      <c r="H4" s="508"/>
      <c r="I4" s="508"/>
      <c r="N4" s="509"/>
      <c r="O4" s="503"/>
    </row>
    <row r="5" spans="1:15" ht="3" customHeight="1">
      <c r="A5" s="502"/>
      <c r="E5" s="507"/>
      <c r="F5" s="508"/>
      <c r="G5" s="508"/>
      <c r="H5" s="508"/>
      <c r="I5" s="508"/>
      <c r="N5" s="509"/>
      <c r="O5" s="503"/>
    </row>
    <row r="6" spans="1:15" ht="28.5" customHeight="1">
      <c r="A6" s="502"/>
      <c r="C6" s="779" t="s">
        <v>492</v>
      </c>
      <c r="D6" s="779"/>
      <c r="E6" s="779"/>
      <c r="F6" s="779"/>
      <c r="G6" s="779"/>
      <c r="H6" s="779"/>
      <c r="I6" s="779"/>
      <c r="J6" s="779"/>
      <c r="K6" s="779"/>
      <c r="L6" s="779"/>
      <c r="N6" s="509"/>
      <c r="O6" s="503"/>
    </row>
    <row r="7" spans="1:15" ht="18.75" customHeight="1">
      <c r="A7" s="502"/>
      <c r="C7" s="780" t="s">
        <v>312</v>
      </c>
      <c r="D7" s="780"/>
      <c r="E7" s="780"/>
      <c r="F7" s="780"/>
      <c r="G7" s="780"/>
      <c r="H7" s="780"/>
      <c r="I7" s="780"/>
      <c r="J7" s="780"/>
      <c r="K7" s="780"/>
      <c r="L7" s="780"/>
      <c r="N7" s="509"/>
      <c r="O7" s="503"/>
    </row>
    <row r="8" spans="1:15" ht="18.75" customHeight="1">
      <c r="A8" s="502"/>
      <c r="C8" s="510"/>
      <c r="D8" s="511" t="s">
        <v>1</v>
      </c>
      <c r="E8" s="510"/>
      <c r="F8" s="510"/>
      <c r="G8" s="510"/>
      <c r="H8" s="510"/>
      <c r="I8" s="510"/>
      <c r="J8" s="510"/>
      <c r="K8" s="510"/>
      <c r="L8" s="510"/>
      <c r="N8" s="509"/>
      <c r="O8" s="503"/>
    </row>
    <row r="9" spans="1:15" ht="18.75" customHeight="1" hidden="1">
      <c r="A9" s="502"/>
      <c r="C9" s="510"/>
      <c r="D9" s="512"/>
      <c r="E9" s="510"/>
      <c r="F9" s="510"/>
      <c r="G9" s="510"/>
      <c r="H9" s="510"/>
      <c r="I9" s="510"/>
      <c r="J9" s="510"/>
      <c r="K9" s="510"/>
      <c r="L9" s="510"/>
      <c r="N9" s="509"/>
      <c r="O9" s="503"/>
    </row>
    <row r="10" spans="1:15" ht="18.75" customHeight="1" hidden="1">
      <c r="A10" s="502"/>
      <c r="C10" s="510"/>
      <c r="D10" s="512"/>
      <c r="E10" s="510"/>
      <c r="F10" s="510"/>
      <c r="G10" s="510"/>
      <c r="H10" s="510"/>
      <c r="I10" s="510"/>
      <c r="J10" s="510"/>
      <c r="K10" s="510"/>
      <c r="L10" s="510"/>
      <c r="N10" s="509"/>
      <c r="O10" s="503"/>
    </row>
    <row r="11" spans="1:15" ht="12.75" customHeight="1" thickBot="1">
      <c r="A11" s="502"/>
      <c r="D11" s="513">
        <v>43512</v>
      </c>
      <c r="E11" s="507"/>
      <c r="F11" s="781" t="s">
        <v>2</v>
      </c>
      <c r="G11" s="781"/>
      <c r="H11" s="781"/>
      <c r="I11" s="781"/>
      <c r="J11" s="781"/>
      <c r="K11" s="781"/>
      <c r="L11" s="781"/>
      <c r="N11" s="509"/>
      <c r="O11" s="503"/>
    </row>
    <row r="12" spans="1:15" ht="7.5" customHeight="1" thickTop="1">
      <c r="A12" s="502"/>
      <c r="C12" s="514"/>
      <c r="D12" s="515"/>
      <c r="E12" s="516"/>
      <c r="F12" s="517"/>
      <c r="G12" s="517"/>
      <c r="H12" s="517"/>
      <c r="I12" s="517"/>
      <c r="J12" s="518"/>
      <c r="K12" s="518"/>
      <c r="L12" s="519"/>
      <c r="N12" s="509"/>
      <c r="O12" s="503"/>
    </row>
    <row r="13" spans="1:15" s="521" customFormat="1" ht="12.75">
      <c r="A13" s="520"/>
      <c r="C13" s="522"/>
      <c r="D13" s="782" t="s">
        <v>4</v>
      </c>
      <c r="E13" s="784" t="s">
        <v>5</v>
      </c>
      <c r="F13" s="784" t="s">
        <v>6</v>
      </c>
      <c r="G13" s="782" t="s">
        <v>7</v>
      </c>
      <c r="H13" s="787" t="s">
        <v>8</v>
      </c>
      <c r="I13" s="789" t="s">
        <v>9</v>
      </c>
      <c r="J13" s="791" t="s">
        <v>10</v>
      </c>
      <c r="K13" s="791"/>
      <c r="L13" s="523"/>
      <c r="N13" s="524"/>
      <c r="O13" s="525"/>
    </row>
    <row r="14" spans="1:15" s="521" customFormat="1" ht="12.75">
      <c r="A14" s="520"/>
      <c r="C14" s="522"/>
      <c r="D14" s="783"/>
      <c r="E14" s="785"/>
      <c r="F14" s="785"/>
      <c r="G14" s="786"/>
      <c r="H14" s="788"/>
      <c r="I14" s="790"/>
      <c r="J14" s="526" t="s">
        <v>11</v>
      </c>
      <c r="K14" s="527" t="s">
        <v>12</v>
      </c>
      <c r="L14" s="523"/>
      <c r="N14" s="524"/>
      <c r="O14" s="525"/>
    </row>
    <row r="15" spans="1:15" s="521" customFormat="1" ht="20.25" customHeight="1" hidden="1">
      <c r="A15" s="520"/>
      <c r="C15" s="522"/>
      <c r="D15" s="792" t="s">
        <v>493</v>
      </c>
      <c r="E15" s="792"/>
      <c r="F15" s="792"/>
      <c r="G15" s="792"/>
      <c r="H15" s="792"/>
      <c r="I15" s="792"/>
      <c r="J15" s="792"/>
      <c r="K15" s="792"/>
      <c r="L15" s="523"/>
      <c r="N15" s="524"/>
      <c r="O15" s="525"/>
    </row>
    <row r="16" spans="1:15" s="521" customFormat="1" ht="12.75" hidden="1">
      <c r="A16" s="520"/>
      <c r="C16" s="522"/>
      <c r="D16" s="528" t="s">
        <v>494</v>
      </c>
      <c r="E16" s="529" t="s">
        <v>495</v>
      </c>
      <c r="F16" s="530" t="s">
        <v>28</v>
      </c>
      <c r="G16" s="531">
        <v>2.3</v>
      </c>
      <c r="H16" s="532">
        <v>60</v>
      </c>
      <c r="I16" s="533">
        <v>560</v>
      </c>
      <c r="J16" s="534">
        <v>0</v>
      </c>
      <c r="K16" s="535">
        <v>0</v>
      </c>
      <c r="L16" s="523"/>
      <c r="N16" s="524"/>
      <c r="O16" s="525"/>
    </row>
    <row r="17" spans="1:15" s="521" customFormat="1" ht="12.75" customHeight="1" hidden="1">
      <c r="A17" s="520"/>
      <c r="C17" s="522"/>
      <c r="D17" s="528" t="s">
        <v>496</v>
      </c>
      <c r="E17" s="529" t="s">
        <v>495</v>
      </c>
      <c r="F17" s="530" t="s">
        <v>28</v>
      </c>
      <c r="G17" s="531">
        <v>2.3</v>
      </c>
      <c r="H17" s="532">
        <v>60</v>
      </c>
      <c r="I17" s="533">
        <v>560</v>
      </c>
      <c r="J17" s="534">
        <v>0</v>
      </c>
      <c r="K17" s="535">
        <v>0</v>
      </c>
      <c r="L17" s="523"/>
      <c r="N17" s="524"/>
      <c r="O17" s="525"/>
    </row>
    <row r="18" spans="1:15" s="521" customFormat="1" ht="12.75" customHeight="1" hidden="1">
      <c r="A18" s="520"/>
      <c r="C18" s="522"/>
      <c r="D18" s="528" t="s">
        <v>497</v>
      </c>
      <c r="E18" s="529" t="s">
        <v>495</v>
      </c>
      <c r="F18" s="530" t="s">
        <v>28</v>
      </c>
      <c r="G18" s="531">
        <v>2.3</v>
      </c>
      <c r="H18" s="532">
        <v>60</v>
      </c>
      <c r="I18" s="533">
        <v>560</v>
      </c>
      <c r="J18" s="534">
        <v>0</v>
      </c>
      <c r="K18" s="535">
        <v>0</v>
      </c>
      <c r="L18" s="523"/>
      <c r="N18" s="524"/>
      <c r="O18" s="525"/>
    </row>
    <row r="19" spans="1:15" s="521" customFormat="1" ht="12.75" hidden="1">
      <c r="A19" s="520"/>
      <c r="C19" s="522"/>
      <c r="D19" s="528" t="s">
        <v>498</v>
      </c>
      <c r="E19" s="529" t="s">
        <v>495</v>
      </c>
      <c r="F19" s="530" t="s">
        <v>28</v>
      </c>
      <c r="G19" s="531">
        <v>2.3</v>
      </c>
      <c r="H19" s="532">
        <v>60</v>
      </c>
      <c r="I19" s="533">
        <v>560</v>
      </c>
      <c r="J19" s="534">
        <v>0</v>
      </c>
      <c r="K19" s="535">
        <v>0</v>
      </c>
      <c r="L19" s="523"/>
      <c r="N19" s="524"/>
      <c r="O19" s="525"/>
    </row>
    <row r="20" spans="1:15" s="537" customFormat="1" ht="18" customHeight="1">
      <c r="A20" s="536"/>
      <c r="C20" s="538"/>
      <c r="D20" s="793" t="s">
        <v>499</v>
      </c>
      <c r="E20" s="793"/>
      <c r="F20" s="539"/>
      <c r="G20" s="539"/>
      <c r="H20" s="540"/>
      <c r="I20" s="539"/>
      <c r="J20" s="539"/>
      <c r="K20" s="539"/>
      <c r="L20" s="541"/>
      <c r="N20" s="542"/>
      <c r="O20" s="543"/>
    </row>
    <row r="21" spans="1:15" s="521" customFormat="1" ht="12.75" hidden="1">
      <c r="A21" s="520"/>
      <c r="C21" s="522"/>
      <c r="D21" s="794" t="s">
        <v>500</v>
      </c>
      <c r="E21" s="529" t="s">
        <v>501</v>
      </c>
      <c r="F21" s="530" t="s">
        <v>28</v>
      </c>
      <c r="G21" s="544">
        <v>1.6</v>
      </c>
      <c r="H21" s="545">
        <v>75</v>
      </c>
      <c r="I21" s="533">
        <v>800</v>
      </c>
      <c r="J21" s="544">
        <v>0</v>
      </c>
      <c r="K21" s="546">
        <v>0</v>
      </c>
      <c r="L21" s="523"/>
      <c r="N21" s="524"/>
      <c r="O21" s="525"/>
    </row>
    <row r="22" spans="1:15" s="521" customFormat="1" ht="12.75" hidden="1">
      <c r="A22" s="520"/>
      <c r="C22" s="522"/>
      <c r="D22" s="795"/>
      <c r="E22" s="529" t="s">
        <v>495</v>
      </c>
      <c r="F22" s="530" t="s">
        <v>28</v>
      </c>
      <c r="G22" s="531">
        <v>2.3</v>
      </c>
      <c r="H22" s="532">
        <v>60</v>
      </c>
      <c r="I22" s="533">
        <v>560</v>
      </c>
      <c r="J22" s="544">
        <v>0</v>
      </c>
      <c r="K22" s="546">
        <v>0</v>
      </c>
      <c r="L22" s="523"/>
      <c r="N22" s="524"/>
      <c r="O22" s="525"/>
    </row>
    <row r="23" spans="1:15" s="521" customFormat="1" ht="12.75" hidden="1">
      <c r="A23" s="520"/>
      <c r="C23" s="522"/>
      <c r="D23" s="794" t="s">
        <v>502</v>
      </c>
      <c r="E23" s="529" t="s">
        <v>501</v>
      </c>
      <c r="F23" s="530" t="s">
        <v>28</v>
      </c>
      <c r="G23" s="544">
        <v>1.6</v>
      </c>
      <c r="H23" s="545">
        <v>75</v>
      </c>
      <c r="I23" s="533">
        <v>800</v>
      </c>
      <c r="J23" s="544">
        <v>0</v>
      </c>
      <c r="K23" s="546">
        <v>0</v>
      </c>
      <c r="L23" s="523"/>
      <c r="N23" s="524"/>
      <c r="O23" s="525"/>
    </row>
    <row r="24" spans="1:15" s="521" customFormat="1" ht="12.75" hidden="1">
      <c r="A24" s="520"/>
      <c r="C24" s="522"/>
      <c r="D24" s="795"/>
      <c r="E24" s="529" t="s">
        <v>495</v>
      </c>
      <c r="F24" s="530" t="s">
        <v>28</v>
      </c>
      <c r="G24" s="531">
        <v>2.3</v>
      </c>
      <c r="H24" s="532">
        <v>60</v>
      </c>
      <c r="I24" s="533">
        <v>560</v>
      </c>
      <c r="J24" s="544">
        <v>0</v>
      </c>
      <c r="K24" s="546">
        <v>0</v>
      </c>
      <c r="L24" s="523"/>
      <c r="N24" s="524"/>
      <c r="O24" s="525"/>
    </row>
    <row r="25" spans="1:15" s="521" customFormat="1" ht="12.75" hidden="1">
      <c r="A25" s="520"/>
      <c r="C25" s="522"/>
      <c r="D25" s="794" t="s">
        <v>503</v>
      </c>
      <c r="E25" s="529" t="s">
        <v>501</v>
      </c>
      <c r="F25" s="530" t="s">
        <v>28</v>
      </c>
      <c r="G25" s="544">
        <v>1.6</v>
      </c>
      <c r="H25" s="545">
        <v>75</v>
      </c>
      <c r="I25" s="533">
        <v>800</v>
      </c>
      <c r="J25" s="544">
        <v>0</v>
      </c>
      <c r="K25" s="546">
        <v>0</v>
      </c>
      <c r="L25" s="523"/>
      <c r="N25" s="524"/>
      <c r="O25" s="525"/>
    </row>
    <row r="26" spans="1:15" s="521" customFormat="1" ht="12.75" hidden="1">
      <c r="A26" s="520"/>
      <c r="C26" s="522"/>
      <c r="D26" s="795"/>
      <c r="E26" s="529" t="s">
        <v>495</v>
      </c>
      <c r="F26" s="530" t="s">
        <v>28</v>
      </c>
      <c r="G26" s="531">
        <v>2.3</v>
      </c>
      <c r="H26" s="532">
        <v>60</v>
      </c>
      <c r="I26" s="533">
        <v>560</v>
      </c>
      <c r="J26" s="544">
        <v>0</v>
      </c>
      <c r="K26" s="546">
        <v>0</v>
      </c>
      <c r="L26" s="523"/>
      <c r="N26" s="524"/>
      <c r="O26" s="525"/>
    </row>
    <row r="27" spans="1:15" s="521" customFormat="1" ht="12.75" hidden="1">
      <c r="A27" s="520"/>
      <c r="C27" s="522"/>
      <c r="D27" s="794" t="s">
        <v>504</v>
      </c>
      <c r="E27" s="529" t="s">
        <v>501</v>
      </c>
      <c r="F27" s="530" t="s">
        <v>28</v>
      </c>
      <c r="G27" s="544">
        <v>1.6</v>
      </c>
      <c r="H27" s="545">
        <v>75</v>
      </c>
      <c r="I27" s="533">
        <v>800</v>
      </c>
      <c r="J27" s="544">
        <v>0</v>
      </c>
      <c r="K27" s="546">
        <v>0</v>
      </c>
      <c r="L27" s="523"/>
      <c r="N27" s="524"/>
      <c r="O27" s="525"/>
    </row>
    <row r="28" spans="1:15" s="521" customFormat="1" ht="12.75" hidden="1">
      <c r="A28" s="520"/>
      <c r="C28" s="522"/>
      <c r="D28" s="795"/>
      <c r="E28" s="529" t="s">
        <v>495</v>
      </c>
      <c r="F28" s="530" t="s">
        <v>28</v>
      </c>
      <c r="G28" s="531">
        <v>2.3</v>
      </c>
      <c r="H28" s="532">
        <v>60</v>
      </c>
      <c r="I28" s="533">
        <v>560</v>
      </c>
      <c r="J28" s="544">
        <v>0</v>
      </c>
      <c r="K28" s="546">
        <v>0</v>
      </c>
      <c r="L28" s="523"/>
      <c r="N28" s="524"/>
      <c r="O28" s="525"/>
    </row>
    <row r="29" spans="1:15" s="521" customFormat="1" ht="12.75">
      <c r="A29" s="520"/>
      <c r="C29" s="522"/>
      <c r="D29" s="547" t="s">
        <v>445</v>
      </c>
      <c r="E29" s="529" t="s">
        <v>505</v>
      </c>
      <c r="F29" s="548" t="s">
        <v>17</v>
      </c>
      <c r="G29" s="531">
        <v>2.55</v>
      </c>
      <c r="H29" s="532">
        <v>50</v>
      </c>
      <c r="I29" s="533">
        <v>420</v>
      </c>
      <c r="J29" s="544">
        <v>102.7</v>
      </c>
      <c r="K29" s="546">
        <v>5135</v>
      </c>
      <c r="L29" s="523"/>
      <c r="N29" s="524"/>
      <c r="O29" s="525"/>
    </row>
    <row r="30" spans="1:15" s="521" customFormat="1" ht="12.75">
      <c r="A30" s="520"/>
      <c r="C30" s="522"/>
      <c r="D30" s="547" t="s">
        <v>485</v>
      </c>
      <c r="E30" s="529" t="s">
        <v>505</v>
      </c>
      <c r="F30" s="548" t="s">
        <v>17</v>
      </c>
      <c r="G30" s="531">
        <v>2.95</v>
      </c>
      <c r="H30" s="532">
        <v>50</v>
      </c>
      <c r="I30" s="533">
        <v>420</v>
      </c>
      <c r="J30" s="544">
        <v>114.33</v>
      </c>
      <c r="K30" s="546">
        <v>5716.5</v>
      </c>
      <c r="L30" s="523"/>
      <c r="N30" s="524"/>
      <c r="O30" s="525"/>
    </row>
    <row r="31" spans="1:15" s="521" customFormat="1" ht="12.75">
      <c r="A31" s="520"/>
      <c r="C31" s="522"/>
      <c r="D31" s="547" t="s">
        <v>506</v>
      </c>
      <c r="E31" s="529" t="s">
        <v>505</v>
      </c>
      <c r="F31" s="548" t="s">
        <v>17</v>
      </c>
      <c r="G31" s="531">
        <v>2.55</v>
      </c>
      <c r="H31" s="532">
        <v>50</v>
      </c>
      <c r="I31" s="533">
        <v>420</v>
      </c>
      <c r="J31" s="544">
        <v>139.51</v>
      </c>
      <c r="K31" s="546">
        <v>6975.5</v>
      </c>
      <c r="L31" s="523"/>
      <c r="N31" s="524"/>
      <c r="O31" s="525"/>
    </row>
    <row r="32" spans="1:15" s="521" customFormat="1" ht="12.75">
      <c r="A32" s="520"/>
      <c r="C32" s="522"/>
      <c r="D32" s="547" t="s">
        <v>507</v>
      </c>
      <c r="E32" s="529" t="s">
        <v>505</v>
      </c>
      <c r="F32" s="548" t="s">
        <v>17</v>
      </c>
      <c r="G32" s="531">
        <v>2.54</v>
      </c>
      <c r="H32" s="532">
        <v>50</v>
      </c>
      <c r="I32" s="533">
        <v>420</v>
      </c>
      <c r="J32" s="544">
        <v>139.51</v>
      </c>
      <c r="K32" s="546">
        <v>6975.5</v>
      </c>
      <c r="L32" s="523"/>
      <c r="N32" s="524"/>
      <c r="O32" s="525"/>
    </row>
    <row r="33" spans="1:15" s="521" customFormat="1" ht="12.75">
      <c r="A33" s="520"/>
      <c r="C33" s="522"/>
      <c r="D33" s="547" t="s">
        <v>445</v>
      </c>
      <c r="E33" s="529" t="s">
        <v>505</v>
      </c>
      <c r="F33" s="548" t="s">
        <v>17</v>
      </c>
      <c r="G33" s="531">
        <v>4.14</v>
      </c>
      <c r="H33" s="532">
        <v>50</v>
      </c>
      <c r="I33" s="533">
        <v>300</v>
      </c>
      <c r="J33" s="544">
        <v>194.84</v>
      </c>
      <c r="K33" s="546">
        <v>9742</v>
      </c>
      <c r="L33" s="523"/>
      <c r="N33" s="524"/>
      <c r="O33" s="525"/>
    </row>
    <row r="34" spans="1:15" s="521" customFormat="1" ht="12.75">
      <c r="A34" s="520"/>
      <c r="C34" s="522"/>
      <c r="D34" s="547" t="s">
        <v>473</v>
      </c>
      <c r="E34" s="529" t="s">
        <v>505</v>
      </c>
      <c r="F34" s="548" t="s">
        <v>17</v>
      </c>
      <c r="G34" s="531">
        <v>4.04</v>
      </c>
      <c r="H34" s="532">
        <v>50</v>
      </c>
      <c r="I34" s="533">
        <v>371</v>
      </c>
      <c r="J34" s="544">
        <v>122.63</v>
      </c>
      <c r="K34" s="546">
        <v>6131.5</v>
      </c>
      <c r="L34" s="523"/>
      <c r="N34" s="524"/>
      <c r="O34" s="525"/>
    </row>
    <row r="35" spans="1:15" s="521" customFormat="1" ht="12.75">
      <c r="A35" s="520"/>
      <c r="C35" s="522"/>
      <c r="D35" s="547" t="s">
        <v>508</v>
      </c>
      <c r="E35" s="529" t="s">
        <v>505</v>
      </c>
      <c r="F35" s="548" t="s">
        <v>17</v>
      </c>
      <c r="G35" s="531">
        <v>3.19</v>
      </c>
      <c r="H35" s="532">
        <v>50</v>
      </c>
      <c r="I35" s="533">
        <v>392</v>
      </c>
      <c r="J35" s="544">
        <v>124.27</v>
      </c>
      <c r="K35" s="546">
        <v>6213.5</v>
      </c>
      <c r="L35" s="523"/>
      <c r="N35" s="524"/>
      <c r="O35" s="525"/>
    </row>
    <row r="36" spans="1:15" s="521" customFormat="1" ht="12.75">
      <c r="A36" s="520"/>
      <c r="C36" s="522"/>
      <c r="D36" s="547" t="s">
        <v>509</v>
      </c>
      <c r="E36" s="529" t="s">
        <v>505</v>
      </c>
      <c r="F36" s="548" t="s">
        <v>17</v>
      </c>
      <c r="G36" s="531">
        <v>3.19</v>
      </c>
      <c r="H36" s="532">
        <v>50</v>
      </c>
      <c r="I36" s="533">
        <v>424</v>
      </c>
      <c r="J36" s="544">
        <v>183.57</v>
      </c>
      <c r="K36" s="546">
        <v>9178.5</v>
      </c>
      <c r="L36" s="523"/>
      <c r="N36" s="524"/>
      <c r="O36" s="525"/>
    </row>
    <row r="37" spans="1:15" s="521" customFormat="1" ht="12.75">
      <c r="A37" s="520"/>
      <c r="C37" s="522"/>
      <c r="D37" s="547" t="s">
        <v>463</v>
      </c>
      <c r="E37" s="529" t="s">
        <v>505</v>
      </c>
      <c r="F37" s="548" t="s">
        <v>17</v>
      </c>
      <c r="G37" s="531">
        <v>3.19</v>
      </c>
      <c r="H37" s="532">
        <v>50</v>
      </c>
      <c r="I37" s="533">
        <v>392</v>
      </c>
      <c r="J37" s="544">
        <v>103.82</v>
      </c>
      <c r="K37" s="546">
        <v>5191</v>
      </c>
      <c r="L37" s="523"/>
      <c r="N37" s="524"/>
      <c r="O37" s="525"/>
    </row>
    <row r="38" spans="1:15" s="521" customFormat="1" ht="12.75">
      <c r="A38" s="520"/>
      <c r="C38" s="522"/>
      <c r="D38" s="547" t="s">
        <v>510</v>
      </c>
      <c r="E38" s="529" t="s">
        <v>505</v>
      </c>
      <c r="F38" s="548" t="s">
        <v>17</v>
      </c>
      <c r="G38" s="531">
        <v>3.19</v>
      </c>
      <c r="H38" s="532">
        <v>50</v>
      </c>
      <c r="I38" s="533">
        <v>371</v>
      </c>
      <c r="J38" s="544">
        <v>122.09</v>
      </c>
      <c r="K38" s="546">
        <v>6104.5</v>
      </c>
      <c r="L38" s="523"/>
      <c r="N38" s="524"/>
      <c r="O38" s="525"/>
    </row>
    <row r="39" spans="1:15" s="521" customFormat="1" ht="12.75">
      <c r="A39" s="520"/>
      <c r="C39" s="522"/>
      <c r="D39" s="547" t="s">
        <v>473</v>
      </c>
      <c r="E39" s="529" t="s">
        <v>505</v>
      </c>
      <c r="F39" s="548" t="s">
        <v>22</v>
      </c>
      <c r="G39" s="531">
        <v>3.19</v>
      </c>
      <c r="H39" s="532">
        <v>50</v>
      </c>
      <c r="I39" s="533">
        <v>250</v>
      </c>
      <c r="J39" s="544">
        <v>200.31</v>
      </c>
      <c r="K39" s="546">
        <v>10015.5</v>
      </c>
      <c r="L39" s="523"/>
      <c r="N39" s="524"/>
      <c r="O39" s="525"/>
    </row>
    <row r="40" spans="1:15" s="521" customFormat="1" ht="12.75" hidden="1">
      <c r="A40" s="520"/>
      <c r="C40" s="522"/>
      <c r="D40" s="547" t="s">
        <v>511</v>
      </c>
      <c r="E40" s="529" t="s">
        <v>505</v>
      </c>
      <c r="F40" s="530" t="s">
        <v>28</v>
      </c>
      <c r="G40" s="531">
        <v>4.43</v>
      </c>
      <c r="H40" s="532">
        <v>60</v>
      </c>
      <c r="I40" s="533">
        <v>560</v>
      </c>
      <c r="J40" s="544">
        <v>0</v>
      </c>
      <c r="K40" s="546">
        <v>0</v>
      </c>
      <c r="L40" s="523"/>
      <c r="N40" s="524"/>
      <c r="O40" s="525"/>
    </row>
    <row r="41" spans="1:15" s="537" customFormat="1" ht="18" customHeight="1" hidden="1">
      <c r="A41" s="536"/>
      <c r="C41" s="538"/>
      <c r="D41" s="549" t="s">
        <v>441</v>
      </c>
      <c r="E41" s="539"/>
      <c r="F41" s="539"/>
      <c r="G41" s="539"/>
      <c r="H41" s="540"/>
      <c r="I41" s="539"/>
      <c r="J41" s="539"/>
      <c r="K41" s="539"/>
      <c r="L41" s="541"/>
      <c r="N41" s="542"/>
      <c r="O41" s="543"/>
    </row>
    <row r="42" spans="1:15" s="550" customFormat="1" ht="13.5" customHeight="1" hidden="1">
      <c r="A42" s="502"/>
      <c r="C42" s="551"/>
      <c r="D42" s="794" t="s">
        <v>512</v>
      </c>
      <c r="E42" s="529" t="s">
        <v>501</v>
      </c>
      <c r="F42" s="530" t="s">
        <v>28</v>
      </c>
      <c r="G42" s="544">
        <v>1.6</v>
      </c>
      <c r="H42" s="552">
        <v>75</v>
      </c>
      <c r="I42" s="553">
        <v>800</v>
      </c>
      <c r="J42" s="544">
        <v>0</v>
      </c>
      <c r="K42" s="546">
        <v>0</v>
      </c>
      <c r="L42" s="554"/>
      <c r="N42" s="555"/>
      <c r="O42" s="556"/>
    </row>
    <row r="43" spans="1:15" s="550" customFormat="1" ht="13.5" customHeight="1" hidden="1">
      <c r="A43" s="502"/>
      <c r="C43" s="551"/>
      <c r="D43" s="795"/>
      <c r="E43" s="529" t="s">
        <v>495</v>
      </c>
      <c r="F43" s="530" t="s">
        <v>28</v>
      </c>
      <c r="G43" s="531">
        <v>2.3</v>
      </c>
      <c r="H43" s="557">
        <v>60</v>
      </c>
      <c r="I43" s="553">
        <v>560</v>
      </c>
      <c r="J43" s="544">
        <v>0</v>
      </c>
      <c r="K43" s="546">
        <v>0</v>
      </c>
      <c r="L43" s="554"/>
      <c r="N43" s="555"/>
      <c r="O43" s="556"/>
    </row>
    <row r="44" spans="1:15" s="550" customFormat="1" ht="13.5" customHeight="1" hidden="1">
      <c r="A44" s="502"/>
      <c r="C44" s="551"/>
      <c r="D44" s="794" t="s">
        <v>513</v>
      </c>
      <c r="E44" s="529" t="s">
        <v>501</v>
      </c>
      <c r="F44" s="530" t="s">
        <v>28</v>
      </c>
      <c r="G44" s="544">
        <v>1.6</v>
      </c>
      <c r="H44" s="552">
        <v>75</v>
      </c>
      <c r="I44" s="553">
        <v>800</v>
      </c>
      <c r="J44" s="544">
        <v>0</v>
      </c>
      <c r="K44" s="546">
        <v>0</v>
      </c>
      <c r="L44" s="554"/>
      <c r="N44" s="555"/>
      <c r="O44" s="556"/>
    </row>
    <row r="45" spans="1:15" s="550" customFormat="1" ht="13.5" customHeight="1" hidden="1">
      <c r="A45" s="502"/>
      <c r="C45" s="551"/>
      <c r="D45" s="795"/>
      <c r="E45" s="529" t="s">
        <v>495</v>
      </c>
      <c r="F45" s="530" t="s">
        <v>28</v>
      </c>
      <c r="G45" s="531">
        <v>2.3</v>
      </c>
      <c r="H45" s="557">
        <v>60</v>
      </c>
      <c r="I45" s="553">
        <v>560</v>
      </c>
      <c r="J45" s="544">
        <v>0</v>
      </c>
      <c r="K45" s="546">
        <v>0</v>
      </c>
      <c r="L45" s="554"/>
      <c r="N45" s="555"/>
      <c r="O45" s="556"/>
    </row>
    <row r="46" spans="1:15" s="550" customFormat="1" ht="13.5" customHeight="1" hidden="1">
      <c r="A46" s="502"/>
      <c r="C46" s="551"/>
      <c r="D46" s="794" t="s">
        <v>514</v>
      </c>
      <c r="E46" s="529" t="s">
        <v>501</v>
      </c>
      <c r="F46" s="530" t="s">
        <v>28</v>
      </c>
      <c r="G46" s="544">
        <v>1.6</v>
      </c>
      <c r="H46" s="552">
        <v>75</v>
      </c>
      <c r="I46" s="553">
        <v>750</v>
      </c>
      <c r="J46" s="544">
        <v>0</v>
      </c>
      <c r="K46" s="546">
        <v>0</v>
      </c>
      <c r="L46" s="554"/>
      <c r="N46" s="555"/>
      <c r="O46" s="556"/>
    </row>
    <row r="47" spans="1:15" s="550" customFormat="1" ht="13.5" customHeight="1" hidden="1">
      <c r="A47" s="502"/>
      <c r="C47" s="551"/>
      <c r="D47" s="795"/>
      <c r="E47" s="529" t="s">
        <v>495</v>
      </c>
      <c r="F47" s="530" t="s">
        <v>28</v>
      </c>
      <c r="G47" s="531">
        <v>2.3</v>
      </c>
      <c r="H47" s="557">
        <v>60</v>
      </c>
      <c r="I47" s="553">
        <v>560</v>
      </c>
      <c r="J47" s="544">
        <v>0</v>
      </c>
      <c r="K47" s="546">
        <v>0</v>
      </c>
      <c r="L47" s="554"/>
      <c r="N47" s="555"/>
      <c r="O47" s="556"/>
    </row>
    <row r="48" spans="1:15" s="550" customFormat="1" ht="13.5" customHeight="1" hidden="1">
      <c r="A48" s="502"/>
      <c r="C48" s="551"/>
      <c r="D48" s="794" t="s">
        <v>515</v>
      </c>
      <c r="E48" s="529" t="s">
        <v>501</v>
      </c>
      <c r="F48" s="530" t="s">
        <v>28</v>
      </c>
      <c r="G48" s="544">
        <v>1.6</v>
      </c>
      <c r="H48" s="552">
        <v>75</v>
      </c>
      <c r="I48" s="553">
        <v>800</v>
      </c>
      <c r="J48" s="544">
        <v>0</v>
      </c>
      <c r="K48" s="546">
        <v>0</v>
      </c>
      <c r="L48" s="554"/>
      <c r="N48" s="555"/>
      <c r="O48" s="556"/>
    </row>
    <row r="49" spans="1:15" s="550" customFormat="1" ht="13.5" customHeight="1" hidden="1">
      <c r="A49" s="502"/>
      <c r="C49" s="551"/>
      <c r="D49" s="795"/>
      <c r="E49" s="529" t="s">
        <v>495</v>
      </c>
      <c r="F49" s="530" t="s">
        <v>28</v>
      </c>
      <c r="G49" s="531">
        <v>2.3</v>
      </c>
      <c r="H49" s="557">
        <v>60</v>
      </c>
      <c r="I49" s="553">
        <v>560</v>
      </c>
      <c r="J49" s="544">
        <v>0</v>
      </c>
      <c r="K49" s="546">
        <v>0</v>
      </c>
      <c r="L49" s="554"/>
      <c r="N49" s="555"/>
      <c r="O49" s="556"/>
    </row>
    <row r="50" spans="1:15" s="550" customFormat="1" ht="13.5" customHeight="1" hidden="1">
      <c r="A50" s="502"/>
      <c r="C50" s="551"/>
      <c r="D50" s="794" t="s">
        <v>516</v>
      </c>
      <c r="E50" s="529" t="s">
        <v>501</v>
      </c>
      <c r="F50" s="530" t="s">
        <v>28</v>
      </c>
      <c r="G50" s="544">
        <v>1.6</v>
      </c>
      <c r="H50" s="545">
        <v>75</v>
      </c>
      <c r="I50" s="558">
        <v>800</v>
      </c>
      <c r="J50" s="544">
        <v>0</v>
      </c>
      <c r="K50" s="546">
        <v>0</v>
      </c>
      <c r="L50" s="554"/>
      <c r="N50" s="555"/>
      <c r="O50" s="556"/>
    </row>
    <row r="51" spans="1:15" s="550" customFormat="1" ht="13.5" customHeight="1" hidden="1">
      <c r="A51" s="502"/>
      <c r="C51" s="551"/>
      <c r="D51" s="795"/>
      <c r="E51" s="529" t="s">
        <v>495</v>
      </c>
      <c r="F51" s="530" t="s">
        <v>28</v>
      </c>
      <c r="G51" s="531">
        <v>2.3</v>
      </c>
      <c r="H51" s="532">
        <v>60</v>
      </c>
      <c r="I51" s="558">
        <v>560</v>
      </c>
      <c r="J51" s="544">
        <v>0</v>
      </c>
      <c r="K51" s="546">
        <v>0</v>
      </c>
      <c r="L51" s="554"/>
      <c r="N51" s="555"/>
      <c r="O51" s="556"/>
    </row>
    <row r="52" spans="1:15" s="550" customFormat="1" ht="13.5" customHeight="1" hidden="1">
      <c r="A52" s="502"/>
      <c r="C52" s="551"/>
      <c r="D52" s="794" t="s">
        <v>517</v>
      </c>
      <c r="E52" s="529" t="s">
        <v>501</v>
      </c>
      <c r="F52" s="530" t="s">
        <v>28</v>
      </c>
      <c r="G52" s="544">
        <v>1.6</v>
      </c>
      <c r="H52" s="545">
        <v>75</v>
      </c>
      <c r="I52" s="558">
        <v>800</v>
      </c>
      <c r="J52" s="544">
        <v>0</v>
      </c>
      <c r="K52" s="546">
        <v>0</v>
      </c>
      <c r="L52" s="554"/>
      <c r="N52" s="555"/>
      <c r="O52" s="556"/>
    </row>
    <row r="53" spans="1:15" s="550" customFormat="1" ht="13.5" customHeight="1" hidden="1">
      <c r="A53" s="502"/>
      <c r="C53" s="551"/>
      <c r="D53" s="795"/>
      <c r="E53" s="529" t="s">
        <v>495</v>
      </c>
      <c r="F53" s="530" t="s">
        <v>28</v>
      </c>
      <c r="G53" s="531">
        <v>2.3</v>
      </c>
      <c r="H53" s="532">
        <v>60</v>
      </c>
      <c r="I53" s="558">
        <v>560</v>
      </c>
      <c r="J53" s="544">
        <v>0</v>
      </c>
      <c r="K53" s="546">
        <v>0</v>
      </c>
      <c r="L53" s="554"/>
      <c r="N53" s="555"/>
      <c r="O53" s="556"/>
    </row>
    <row r="54" spans="1:15" s="550" customFormat="1" ht="13.5" customHeight="1" hidden="1">
      <c r="A54" s="502"/>
      <c r="C54" s="551"/>
      <c r="D54" s="794" t="s">
        <v>518</v>
      </c>
      <c r="E54" s="529" t="s">
        <v>501</v>
      </c>
      <c r="F54" s="530" t="s">
        <v>28</v>
      </c>
      <c r="G54" s="544">
        <v>1.6</v>
      </c>
      <c r="H54" s="552">
        <v>75</v>
      </c>
      <c r="I54" s="553">
        <v>800</v>
      </c>
      <c r="J54" s="544">
        <v>0</v>
      </c>
      <c r="K54" s="546">
        <v>0</v>
      </c>
      <c r="L54" s="554"/>
      <c r="N54" s="555"/>
      <c r="O54" s="556"/>
    </row>
    <row r="55" spans="1:15" s="550" customFormat="1" ht="13.5" customHeight="1" hidden="1">
      <c r="A55" s="502"/>
      <c r="C55" s="551"/>
      <c r="D55" s="795"/>
      <c r="E55" s="529" t="s">
        <v>495</v>
      </c>
      <c r="F55" s="530" t="s">
        <v>28</v>
      </c>
      <c r="G55" s="531">
        <v>2.3</v>
      </c>
      <c r="H55" s="557">
        <v>60</v>
      </c>
      <c r="I55" s="553">
        <v>560</v>
      </c>
      <c r="J55" s="544">
        <v>0</v>
      </c>
      <c r="K55" s="546">
        <v>0</v>
      </c>
      <c r="L55" s="554"/>
      <c r="N55" s="555"/>
      <c r="O55" s="556"/>
    </row>
    <row r="56" spans="1:15" s="550" customFormat="1" ht="13.5" customHeight="1" hidden="1">
      <c r="A56" s="502"/>
      <c r="C56" s="551"/>
      <c r="D56" s="794" t="s">
        <v>519</v>
      </c>
      <c r="E56" s="529" t="s">
        <v>501</v>
      </c>
      <c r="F56" s="530" t="s">
        <v>28</v>
      </c>
      <c r="G56" s="544">
        <v>1.6</v>
      </c>
      <c r="H56" s="552">
        <v>75</v>
      </c>
      <c r="I56" s="553">
        <v>800</v>
      </c>
      <c r="J56" s="544">
        <v>0</v>
      </c>
      <c r="K56" s="546">
        <v>0</v>
      </c>
      <c r="L56" s="554"/>
      <c r="N56" s="555"/>
      <c r="O56" s="556"/>
    </row>
    <row r="57" spans="1:15" s="550" customFormat="1" ht="13.5" customHeight="1" hidden="1">
      <c r="A57" s="502"/>
      <c r="C57" s="551"/>
      <c r="D57" s="795"/>
      <c r="E57" s="529" t="s">
        <v>495</v>
      </c>
      <c r="F57" s="530" t="s">
        <v>28</v>
      </c>
      <c r="G57" s="531">
        <v>2.3</v>
      </c>
      <c r="H57" s="557">
        <v>60</v>
      </c>
      <c r="I57" s="553">
        <v>560</v>
      </c>
      <c r="J57" s="544">
        <v>0</v>
      </c>
      <c r="K57" s="546">
        <v>0</v>
      </c>
      <c r="L57" s="554"/>
      <c r="N57" s="555"/>
      <c r="O57" s="556"/>
    </row>
    <row r="58" spans="1:15" s="550" customFormat="1" ht="13.5" customHeight="1" hidden="1">
      <c r="A58" s="502"/>
      <c r="C58" s="551"/>
      <c r="D58" s="559" t="s">
        <v>520</v>
      </c>
      <c r="E58" s="529" t="s">
        <v>495</v>
      </c>
      <c r="F58" s="530" t="s">
        <v>28</v>
      </c>
      <c r="G58" s="531">
        <v>2.3</v>
      </c>
      <c r="H58" s="532">
        <v>60</v>
      </c>
      <c r="I58" s="558">
        <v>560</v>
      </c>
      <c r="J58" s="544">
        <v>0</v>
      </c>
      <c r="K58" s="546">
        <v>0</v>
      </c>
      <c r="L58" s="554"/>
      <c r="N58" s="555"/>
      <c r="O58" s="556"/>
    </row>
    <row r="59" spans="1:15" s="550" customFormat="1" ht="13.5" customHeight="1" hidden="1">
      <c r="A59" s="502"/>
      <c r="C59" s="551"/>
      <c r="D59" s="794" t="s">
        <v>521</v>
      </c>
      <c r="E59" s="529" t="s">
        <v>501</v>
      </c>
      <c r="F59" s="530" t="s">
        <v>28</v>
      </c>
      <c r="G59" s="544">
        <v>1.6</v>
      </c>
      <c r="H59" s="545">
        <v>75</v>
      </c>
      <c r="I59" s="558">
        <v>800</v>
      </c>
      <c r="J59" s="544">
        <v>0</v>
      </c>
      <c r="K59" s="546">
        <v>0</v>
      </c>
      <c r="L59" s="554"/>
      <c r="N59" s="555"/>
      <c r="O59" s="556"/>
    </row>
    <row r="60" spans="1:15" s="550" customFormat="1" ht="13.5" customHeight="1" hidden="1">
      <c r="A60" s="502"/>
      <c r="C60" s="551"/>
      <c r="D60" s="795"/>
      <c r="E60" s="529" t="s">
        <v>495</v>
      </c>
      <c r="F60" s="530" t="s">
        <v>28</v>
      </c>
      <c r="G60" s="531">
        <v>2.3</v>
      </c>
      <c r="H60" s="532">
        <v>60</v>
      </c>
      <c r="I60" s="558">
        <v>560</v>
      </c>
      <c r="J60" s="544">
        <v>0</v>
      </c>
      <c r="K60" s="546">
        <v>0</v>
      </c>
      <c r="L60" s="554"/>
      <c r="N60" s="555"/>
      <c r="O60" s="556"/>
    </row>
    <row r="61" spans="1:15" s="550" customFormat="1" ht="13.5" customHeight="1" hidden="1">
      <c r="A61" s="502"/>
      <c r="C61" s="551"/>
      <c r="D61" s="794" t="s">
        <v>522</v>
      </c>
      <c r="E61" s="529" t="s">
        <v>501</v>
      </c>
      <c r="F61" s="530" t="s">
        <v>28</v>
      </c>
      <c r="G61" s="544">
        <v>1.6</v>
      </c>
      <c r="H61" s="552">
        <v>75</v>
      </c>
      <c r="I61" s="553">
        <v>800</v>
      </c>
      <c r="J61" s="544">
        <v>0</v>
      </c>
      <c r="K61" s="546">
        <v>0</v>
      </c>
      <c r="L61" s="554"/>
      <c r="N61" s="555"/>
      <c r="O61" s="556"/>
    </row>
    <row r="62" spans="1:15" s="550" customFormat="1" ht="13.5" customHeight="1" hidden="1">
      <c r="A62" s="502"/>
      <c r="C62" s="551"/>
      <c r="D62" s="795"/>
      <c r="E62" s="529" t="s">
        <v>495</v>
      </c>
      <c r="F62" s="530" t="s">
        <v>28</v>
      </c>
      <c r="G62" s="531">
        <v>2.3</v>
      </c>
      <c r="H62" s="557">
        <v>60</v>
      </c>
      <c r="I62" s="553">
        <v>560</v>
      </c>
      <c r="J62" s="544">
        <v>0</v>
      </c>
      <c r="K62" s="546">
        <v>0</v>
      </c>
      <c r="L62" s="554"/>
      <c r="N62" s="555"/>
      <c r="O62" s="556"/>
    </row>
    <row r="63" spans="1:15" s="550" customFormat="1" ht="13.5" customHeight="1" hidden="1">
      <c r="A63" s="502"/>
      <c r="C63" s="551"/>
      <c r="D63" s="794" t="s">
        <v>523</v>
      </c>
      <c r="E63" s="529" t="s">
        <v>501</v>
      </c>
      <c r="F63" s="530" t="s">
        <v>28</v>
      </c>
      <c r="G63" s="544">
        <v>1.6</v>
      </c>
      <c r="H63" s="552">
        <v>75</v>
      </c>
      <c r="I63" s="553">
        <v>800</v>
      </c>
      <c r="J63" s="544">
        <v>0</v>
      </c>
      <c r="K63" s="546">
        <v>0</v>
      </c>
      <c r="L63" s="554"/>
      <c r="N63" s="555"/>
      <c r="O63" s="556"/>
    </row>
    <row r="64" spans="1:15" s="550" customFormat="1" ht="13.5" customHeight="1" hidden="1">
      <c r="A64" s="502"/>
      <c r="C64" s="551"/>
      <c r="D64" s="795"/>
      <c r="E64" s="529" t="s">
        <v>495</v>
      </c>
      <c r="F64" s="530" t="s">
        <v>28</v>
      </c>
      <c r="G64" s="531">
        <v>2.3</v>
      </c>
      <c r="H64" s="557">
        <v>60</v>
      </c>
      <c r="I64" s="553">
        <v>560</v>
      </c>
      <c r="J64" s="544">
        <v>0</v>
      </c>
      <c r="K64" s="546">
        <v>0</v>
      </c>
      <c r="L64" s="554"/>
      <c r="N64" s="555"/>
      <c r="O64" s="556"/>
    </row>
    <row r="65" spans="1:15" s="550" customFormat="1" ht="13.5" customHeight="1" hidden="1">
      <c r="A65" s="502"/>
      <c r="C65" s="551"/>
      <c r="D65" s="794" t="s">
        <v>524</v>
      </c>
      <c r="E65" s="529" t="s">
        <v>501</v>
      </c>
      <c r="F65" s="530" t="s">
        <v>28</v>
      </c>
      <c r="G65" s="544">
        <v>1.6</v>
      </c>
      <c r="H65" s="552">
        <v>75</v>
      </c>
      <c r="I65" s="553">
        <v>800</v>
      </c>
      <c r="J65" s="544">
        <v>0</v>
      </c>
      <c r="K65" s="546">
        <v>0</v>
      </c>
      <c r="L65" s="554"/>
      <c r="N65" s="555"/>
      <c r="O65" s="556"/>
    </row>
    <row r="66" spans="1:15" s="550" customFormat="1" ht="13.5" customHeight="1" hidden="1">
      <c r="A66" s="502"/>
      <c r="C66" s="551"/>
      <c r="D66" s="795"/>
      <c r="E66" s="529" t="s">
        <v>495</v>
      </c>
      <c r="F66" s="530" t="s">
        <v>28</v>
      </c>
      <c r="G66" s="531">
        <v>2.3</v>
      </c>
      <c r="H66" s="557">
        <v>60</v>
      </c>
      <c r="I66" s="553">
        <v>560</v>
      </c>
      <c r="J66" s="544">
        <v>0</v>
      </c>
      <c r="K66" s="546">
        <v>0</v>
      </c>
      <c r="L66" s="554"/>
      <c r="N66" s="555"/>
      <c r="O66" s="556"/>
    </row>
    <row r="67" spans="1:15" s="550" customFormat="1" ht="13.5" customHeight="1" hidden="1">
      <c r="A67" s="502"/>
      <c r="C67" s="551"/>
      <c r="D67" s="559" t="s">
        <v>525</v>
      </c>
      <c r="E67" s="529" t="s">
        <v>495</v>
      </c>
      <c r="F67" s="530" t="s">
        <v>28</v>
      </c>
      <c r="G67" s="531">
        <v>2.3</v>
      </c>
      <c r="H67" s="557">
        <v>60</v>
      </c>
      <c r="I67" s="553">
        <v>560</v>
      </c>
      <c r="J67" s="544">
        <v>0</v>
      </c>
      <c r="K67" s="546">
        <v>0</v>
      </c>
      <c r="L67" s="554"/>
      <c r="N67" s="555"/>
      <c r="O67" s="556"/>
    </row>
    <row r="68" spans="1:15" s="550" customFormat="1" ht="13.5" customHeight="1" hidden="1">
      <c r="A68" s="502"/>
      <c r="C68" s="551"/>
      <c r="D68" s="794" t="s">
        <v>526</v>
      </c>
      <c r="E68" s="529" t="s">
        <v>501</v>
      </c>
      <c r="F68" s="530" t="s">
        <v>28</v>
      </c>
      <c r="G68" s="544">
        <v>1.6</v>
      </c>
      <c r="H68" s="552">
        <v>75</v>
      </c>
      <c r="I68" s="553">
        <v>800</v>
      </c>
      <c r="J68" s="544">
        <v>0</v>
      </c>
      <c r="K68" s="546">
        <v>0</v>
      </c>
      <c r="L68" s="554"/>
      <c r="N68" s="555"/>
      <c r="O68" s="556"/>
    </row>
    <row r="69" spans="1:15" s="550" customFormat="1" ht="13.5" customHeight="1" hidden="1">
      <c r="A69" s="502"/>
      <c r="C69" s="551"/>
      <c r="D69" s="795"/>
      <c r="E69" s="529" t="s">
        <v>495</v>
      </c>
      <c r="F69" s="530" t="s">
        <v>28</v>
      </c>
      <c r="G69" s="531">
        <v>2.3</v>
      </c>
      <c r="H69" s="557">
        <v>60</v>
      </c>
      <c r="I69" s="553">
        <v>560</v>
      </c>
      <c r="J69" s="544">
        <v>0</v>
      </c>
      <c r="K69" s="546">
        <v>0</v>
      </c>
      <c r="L69" s="554"/>
      <c r="N69" s="555"/>
      <c r="O69" s="556"/>
    </row>
    <row r="70" spans="1:15" s="550" customFormat="1" ht="13.5" customHeight="1" hidden="1">
      <c r="A70" s="502"/>
      <c r="C70" s="551"/>
      <c r="D70" s="794" t="s">
        <v>527</v>
      </c>
      <c r="E70" s="529" t="s">
        <v>501</v>
      </c>
      <c r="F70" s="530" t="s">
        <v>28</v>
      </c>
      <c r="G70" s="544">
        <v>1.6</v>
      </c>
      <c r="H70" s="552">
        <v>75</v>
      </c>
      <c r="I70" s="553">
        <v>800</v>
      </c>
      <c r="J70" s="544">
        <v>0</v>
      </c>
      <c r="K70" s="546">
        <v>0</v>
      </c>
      <c r="L70" s="554"/>
      <c r="N70" s="555"/>
      <c r="O70" s="556"/>
    </row>
    <row r="71" spans="1:15" s="550" customFormat="1" ht="13.5" customHeight="1" hidden="1">
      <c r="A71" s="502"/>
      <c r="C71" s="551"/>
      <c r="D71" s="795"/>
      <c r="E71" s="529" t="s">
        <v>495</v>
      </c>
      <c r="F71" s="530" t="s">
        <v>28</v>
      </c>
      <c r="G71" s="531">
        <v>2.3</v>
      </c>
      <c r="H71" s="557">
        <v>60</v>
      </c>
      <c r="I71" s="553">
        <v>560</v>
      </c>
      <c r="J71" s="544">
        <v>0</v>
      </c>
      <c r="K71" s="546">
        <v>0</v>
      </c>
      <c r="L71" s="554"/>
      <c r="N71" s="555"/>
      <c r="O71" s="556"/>
    </row>
    <row r="72" spans="1:15" s="550" customFormat="1" ht="13.5" customHeight="1" hidden="1">
      <c r="A72" s="502"/>
      <c r="C72" s="551"/>
      <c r="D72" s="559" t="s">
        <v>528</v>
      </c>
      <c r="E72" s="529" t="s">
        <v>495</v>
      </c>
      <c r="F72" s="530" t="s">
        <v>28</v>
      </c>
      <c r="G72" s="531">
        <v>2.3</v>
      </c>
      <c r="H72" s="557">
        <v>60</v>
      </c>
      <c r="I72" s="553">
        <v>560</v>
      </c>
      <c r="J72" s="544">
        <v>0</v>
      </c>
      <c r="K72" s="546">
        <v>0</v>
      </c>
      <c r="L72" s="554"/>
      <c r="N72" s="555"/>
      <c r="O72" s="556"/>
    </row>
    <row r="73" spans="1:15" s="550" customFormat="1" ht="13.5" customHeight="1" hidden="1">
      <c r="A73" s="502"/>
      <c r="C73" s="551"/>
      <c r="D73" s="794" t="s">
        <v>529</v>
      </c>
      <c r="E73" s="529" t="s">
        <v>501</v>
      </c>
      <c r="F73" s="530" t="s">
        <v>28</v>
      </c>
      <c r="G73" s="544">
        <v>1.6</v>
      </c>
      <c r="H73" s="552">
        <v>75</v>
      </c>
      <c r="I73" s="553">
        <v>800</v>
      </c>
      <c r="J73" s="544">
        <v>0</v>
      </c>
      <c r="K73" s="546">
        <v>0</v>
      </c>
      <c r="L73" s="554"/>
      <c r="N73" s="555"/>
      <c r="O73" s="556"/>
    </row>
    <row r="74" spans="1:15" s="550" customFormat="1" ht="13.5" customHeight="1" hidden="1">
      <c r="A74" s="502"/>
      <c r="C74" s="551"/>
      <c r="D74" s="795"/>
      <c r="E74" s="529" t="s">
        <v>495</v>
      </c>
      <c r="F74" s="530" t="s">
        <v>28</v>
      </c>
      <c r="G74" s="531">
        <v>2.3</v>
      </c>
      <c r="H74" s="557">
        <v>60</v>
      </c>
      <c r="I74" s="553">
        <v>560</v>
      </c>
      <c r="J74" s="544">
        <v>0</v>
      </c>
      <c r="K74" s="546">
        <v>0</v>
      </c>
      <c r="L74" s="554"/>
      <c r="N74" s="555"/>
      <c r="O74" s="556"/>
    </row>
    <row r="75" spans="1:15" s="550" customFormat="1" ht="13.5" customHeight="1" hidden="1">
      <c r="A75" s="502"/>
      <c r="C75" s="551"/>
      <c r="D75" s="794" t="s">
        <v>530</v>
      </c>
      <c r="E75" s="529" t="s">
        <v>501</v>
      </c>
      <c r="F75" s="530" t="s">
        <v>28</v>
      </c>
      <c r="G75" s="544">
        <v>1.6</v>
      </c>
      <c r="H75" s="552">
        <v>75</v>
      </c>
      <c r="I75" s="553">
        <v>800</v>
      </c>
      <c r="J75" s="544">
        <v>0</v>
      </c>
      <c r="K75" s="546">
        <v>0</v>
      </c>
      <c r="L75" s="554"/>
      <c r="M75" s="537"/>
      <c r="N75" s="542"/>
      <c r="O75" s="543"/>
    </row>
    <row r="76" spans="1:15" s="550" customFormat="1" ht="13.5" customHeight="1" hidden="1">
      <c r="A76" s="502"/>
      <c r="C76" s="551"/>
      <c r="D76" s="795"/>
      <c r="E76" s="529" t="s">
        <v>495</v>
      </c>
      <c r="F76" s="530" t="s">
        <v>28</v>
      </c>
      <c r="G76" s="531">
        <v>2.3</v>
      </c>
      <c r="H76" s="557">
        <v>60</v>
      </c>
      <c r="I76" s="553">
        <v>560</v>
      </c>
      <c r="J76" s="544">
        <v>0</v>
      </c>
      <c r="K76" s="546">
        <v>0</v>
      </c>
      <c r="L76" s="554"/>
      <c r="N76" s="555"/>
      <c r="O76" s="556"/>
    </row>
    <row r="77" spans="1:15" s="550" customFormat="1" ht="13.5" customHeight="1" hidden="1">
      <c r="A77" s="502"/>
      <c r="C77" s="551"/>
      <c r="D77" s="794" t="s">
        <v>531</v>
      </c>
      <c r="E77" s="529" t="s">
        <v>501</v>
      </c>
      <c r="F77" s="530" t="s">
        <v>28</v>
      </c>
      <c r="G77" s="544">
        <v>1.6</v>
      </c>
      <c r="H77" s="552">
        <v>75</v>
      </c>
      <c r="I77" s="553">
        <v>800</v>
      </c>
      <c r="J77" s="544">
        <v>0</v>
      </c>
      <c r="K77" s="546">
        <v>0</v>
      </c>
      <c r="L77" s="554"/>
      <c r="N77" s="555"/>
      <c r="O77" s="556"/>
    </row>
    <row r="78" spans="1:15" s="550" customFormat="1" ht="13.5" customHeight="1" hidden="1">
      <c r="A78" s="502"/>
      <c r="C78" s="551"/>
      <c r="D78" s="795"/>
      <c r="E78" s="529" t="s">
        <v>495</v>
      </c>
      <c r="F78" s="530" t="s">
        <v>28</v>
      </c>
      <c r="G78" s="531">
        <v>2.3</v>
      </c>
      <c r="H78" s="557">
        <v>60</v>
      </c>
      <c r="I78" s="553">
        <v>560</v>
      </c>
      <c r="J78" s="544">
        <v>0</v>
      </c>
      <c r="K78" s="546">
        <v>0</v>
      </c>
      <c r="L78" s="554"/>
      <c r="N78" s="555"/>
      <c r="O78" s="556"/>
    </row>
    <row r="79" spans="1:15" s="537" customFormat="1" ht="18" customHeight="1" hidden="1">
      <c r="A79" s="536"/>
      <c r="C79" s="538"/>
      <c r="D79" s="549" t="s">
        <v>532</v>
      </c>
      <c r="E79" s="560"/>
      <c r="F79" s="539"/>
      <c r="G79" s="539"/>
      <c r="H79" s="540"/>
      <c r="I79" s="561"/>
      <c r="J79" s="539"/>
      <c r="K79" s="539"/>
      <c r="L79" s="541"/>
      <c r="M79" s="550"/>
      <c r="N79" s="555"/>
      <c r="O79" s="556"/>
    </row>
    <row r="80" spans="1:15" s="550" customFormat="1" ht="13.5" customHeight="1" hidden="1">
      <c r="A80" s="502"/>
      <c r="C80" s="551"/>
      <c r="D80" s="794" t="s">
        <v>533</v>
      </c>
      <c r="E80" s="529" t="s">
        <v>501</v>
      </c>
      <c r="F80" s="530" t="s">
        <v>28</v>
      </c>
      <c r="G80" s="544">
        <v>1.7</v>
      </c>
      <c r="H80" s="552">
        <v>75</v>
      </c>
      <c r="I80" s="553">
        <v>800</v>
      </c>
      <c r="J80" s="544">
        <v>0</v>
      </c>
      <c r="K80" s="546">
        <v>0</v>
      </c>
      <c r="L80" s="554"/>
      <c r="N80" s="555"/>
      <c r="O80" s="556"/>
    </row>
    <row r="81" spans="1:15" s="550" customFormat="1" ht="13.5" customHeight="1" hidden="1">
      <c r="A81" s="502"/>
      <c r="C81" s="551"/>
      <c r="D81" s="795"/>
      <c r="E81" s="529" t="s">
        <v>495</v>
      </c>
      <c r="F81" s="530" t="s">
        <v>28</v>
      </c>
      <c r="G81" s="531">
        <v>2.3</v>
      </c>
      <c r="H81" s="557">
        <v>60</v>
      </c>
      <c r="I81" s="553">
        <v>560</v>
      </c>
      <c r="J81" s="544">
        <v>0</v>
      </c>
      <c r="K81" s="546">
        <v>0</v>
      </c>
      <c r="L81" s="554"/>
      <c r="N81" s="555"/>
      <c r="O81" s="556"/>
    </row>
    <row r="82" spans="1:15" s="550" customFormat="1" ht="13.5" customHeight="1" hidden="1">
      <c r="A82" s="502"/>
      <c r="C82" s="551"/>
      <c r="D82" s="794" t="s">
        <v>534</v>
      </c>
      <c r="E82" s="529" t="s">
        <v>501</v>
      </c>
      <c r="F82" s="530" t="s">
        <v>28</v>
      </c>
      <c r="G82" s="544">
        <v>1.7</v>
      </c>
      <c r="H82" s="552">
        <v>75</v>
      </c>
      <c r="I82" s="553">
        <v>750</v>
      </c>
      <c r="J82" s="544">
        <v>0</v>
      </c>
      <c r="K82" s="546">
        <v>0</v>
      </c>
      <c r="L82" s="554"/>
      <c r="N82" s="555"/>
      <c r="O82" s="556"/>
    </row>
    <row r="83" spans="1:15" s="550" customFormat="1" ht="13.5" customHeight="1" hidden="1">
      <c r="A83" s="502"/>
      <c r="C83" s="551"/>
      <c r="D83" s="795"/>
      <c r="E83" s="529" t="s">
        <v>495</v>
      </c>
      <c r="F83" s="530" t="s">
        <v>28</v>
      </c>
      <c r="G83" s="531">
        <v>2.3</v>
      </c>
      <c r="H83" s="557">
        <v>60</v>
      </c>
      <c r="I83" s="553">
        <v>560</v>
      </c>
      <c r="J83" s="544">
        <v>0</v>
      </c>
      <c r="K83" s="546">
        <v>0</v>
      </c>
      <c r="L83" s="554"/>
      <c r="N83" s="555"/>
      <c r="O83" s="556"/>
    </row>
    <row r="84" spans="1:15" s="550" customFormat="1" ht="13.5" customHeight="1" hidden="1">
      <c r="A84" s="502"/>
      <c r="C84" s="551"/>
      <c r="D84" s="794" t="s">
        <v>535</v>
      </c>
      <c r="E84" s="529" t="s">
        <v>501</v>
      </c>
      <c r="F84" s="530" t="s">
        <v>28</v>
      </c>
      <c r="G84" s="544">
        <v>1.7</v>
      </c>
      <c r="H84" s="552">
        <v>75</v>
      </c>
      <c r="I84" s="553">
        <v>800</v>
      </c>
      <c r="J84" s="544">
        <v>0</v>
      </c>
      <c r="K84" s="546">
        <v>0</v>
      </c>
      <c r="L84" s="554"/>
      <c r="N84" s="555"/>
      <c r="O84" s="556"/>
    </row>
    <row r="85" spans="1:15" s="550" customFormat="1" ht="13.5" customHeight="1" hidden="1">
      <c r="A85" s="502"/>
      <c r="C85" s="551"/>
      <c r="D85" s="795"/>
      <c r="E85" s="529" t="s">
        <v>495</v>
      </c>
      <c r="F85" s="530" t="s">
        <v>28</v>
      </c>
      <c r="G85" s="531">
        <v>2.3</v>
      </c>
      <c r="H85" s="557">
        <v>60</v>
      </c>
      <c r="I85" s="553">
        <v>560</v>
      </c>
      <c r="J85" s="544">
        <v>0</v>
      </c>
      <c r="K85" s="546">
        <v>0</v>
      </c>
      <c r="L85" s="554"/>
      <c r="N85" s="555"/>
      <c r="O85" s="556"/>
    </row>
    <row r="86" spans="1:15" s="550" customFormat="1" ht="13.5" customHeight="1" hidden="1">
      <c r="A86" s="502"/>
      <c r="C86" s="551"/>
      <c r="D86" s="796" t="s">
        <v>496</v>
      </c>
      <c r="E86" s="529" t="s">
        <v>501</v>
      </c>
      <c r="F86" s="530" t="s">
        <v>28</v>
      </c>
      <c r="G86" s="544">
        <v>1.7</v>
      </c>
      <c r="H86" s="552">
        <v>75</v>
      </c>
      <c r="I86" s="553">
        <v>800</v>
      </c>
      <c r="J86" s="544">
        <v>0</v>
      </c>
      <c r="K86" s="546">
        <v>0</v>
      </c>
      <c r="L86" s="554"/>
      <c r="N86" s="555"/>
      <c r="O86" s="556"/>
    </row>
    <row r="87" spans="1:15" s="550" customFormat="1" ht="13.5" customHeight="1" hidden="1">
      <c r="A87" s="502"/>
      <c r="C87" s="551"/>
      <c r="D87" s="797"/>
      <c r="E87" s="529" t="s">
        <v>495</v>
      </c>
      <c r="F87" s="530" t="s">
        <v>28</v>
      </c>
      <c r="G87" s="531">
        <v>2.3</v>
      </c>
      <c r="H87" s="557">
        <v>60</v>
      </c>
      <c r="I87" s="553">
        <v>560</v>
      </c>
      <c r="J87" s="544">
        <v>0</v>
      </c>
      <c r="K87" s="546">
        <v>0</v>
      </c>
      <c r="L87" s="554"/>
      <c r="N87" s="555"/>
      <c r="O87" s="556"/>
    </row>
    <row r="88" spans="1:15" s="550" customFormat="1" ht="13.5" customHeight="1" hidden="1">
      <c r="A88" s="502"/>
      <c r="C88" s="551"/>
      <c r="D88" s="794" t="s">
        <v>536</v>
      </c>
      <c r="E88" s="529" t="s">
        <v>501</v>
      </c>
      <c r="F88" s="530" t="s">
        <v>28</v>
      </c>
      <c r="G88" s="544">
        <v>1.7</v>
      </c>
      <c r="H88" s="552">
        <v>75</v>
      </c>
      <c r="I88" s="553">
        <v>800</v>
      </c>
      <c r="J88" s="544">
        <v>0</v>
      </c>
      <c r="K88" s="546">
        <v>0</v>
      </c>
      <c r="L88" s="554"/>
      <c r="N88" s="555"/>
      <c r="O88" s="556"/>
    </row>
    <row r="89" spans="1:15" s="550" customFormat="1" ht="13.5" customHeight="1" hidden="1">
      <c r="A89" s="502"/>
      <c r="C89" s="551"/>
      <c r="D89" s="795"/>
      <c r="E89" s="529" t="s">
        <v>495</v>
      </c>
      <c r="F89" s="530" t="s">
        <v>28</v>
      </c>
      <c r="G89" s="531">
        <v>2.3</v>
      </c>
      <c r="H89" s="557">
        <v>60</v>
      </c>
      <c r="I89" s="553">
        <v>560</v>
      </c>
      <c r="J89" s="544">
        <v>0</v>
      </c>
      <c r="K89" s="546">
        <v>0</v>
      </c>
      <c r="L89" s="554"/>
      <c r="N89" s="555"/>
      <c r="O89" s="556"/>
    </row>
    <row r="90" spans="1:15" s="550" customFormat="1" ht="13.5" customHeight="1" hidden="1">
      <c r="A90" s="502"/>
      <c r="C90" s="551"/>
      <c r="D90" s="547" t="s">
        <v>537</v>
      </c>
      <c r="E90" s="529" t="s">
        <v>495</v>
      </c>
      <c r="F90" s="530" t="s">
        <v>28</v>
      </c>
      <c r="G90" s="531">
        <v>2.3</v>
      </c>
      <c r="H90" s="557">
        <v>60</v>
      </c>
      <c r="I90" s="553">
        <v>560</v>
      </c>
      <c r="J90" s="544">
        <v>0</v>
      </c>
      <c r="K90" s="546">
        <v>0</v>
      </c>
      <c r="L90" s="554"/>
      <c r="N90" s="555"/>
      <c r="O90" s="556"/>
    </row>
    <row r="91" spans="1:15" s="550" customFormat="1" ht="13.5" customHeight="1" hidden="1">
      <c r="A91" s="502"/>
      <c r="C91" s="551"/>
      <c r="D91" s="794" t="s">
        <v>538</v>
      </c>
      <c r="E91" s="529" t="s">
        <v>501</v>
      </c>
      <c r="F91" s="530" t="s">
        <v>28</v>
      </c>
      <c r="G91" s="544">
        <v>1.7</v>
      </c>
      <c r="H91" s="552">
        <v>75</v>
      </c>
      <c r="I91" s="553">
        <v>800</v>
      </c>
      <c r="J91" s="544">
        <v>0</v>
      </c>
      <c r="K91" s="546">
        <v>0</v>
      </c>
      <c r="L91" s="554"/>
      <c r="N91" s="555"/>
      <c r="O91" s="556"/>
    </row>
    <row r="92" spans="1:15" s="550" customFormat="1" ht="13.5" customHeight="1" hidden="1">
      <c r="A92" s="502"/>
      <c r="C92" s="551"/>
      <c r="D92" s="795"/>
      <c r="E92" s="529" t="s">
        <v>495</v>
      </c>
      <c r="F92" s="530" t="s">
        <v>28</v>
      </c>
      <c r="G92" s="531">
        <v>2.3</v>
      </c>
      <c r="H92" s="557">
        <v>60</v>
      </c>
      <c r="I92" s="553">
        <v>560</v>
      </c>
      <c r="J92" s="544">
        <v>0</v>
      </c>
      <c r="K92" s="546">
        <v>0</v>
      </c>
      <c r="L92" s="554"/>
      <c r="N92" s="555"/>
      <c r="O92" s="556"/>
    </row>
    <row r="93" spans="1:15" s="550" customFormat="1" ht="13.5" customHeight="1" hidden="1">
      <c r="A93" s="502"/>
      <c r="C93" s="551"/>
      <c r="D93" s="547" t="s">
        <v>539</v>
      </c>
      <c r="E93" s="529" t="s">
        <v>495</v>
      </c>
      <c r="F93" s="530" t="s">
        <v>28</v>
      </c>
      <c r="G93" s="531">
        <v>2.3</v>
      </c>
      <c r="H93" s="557">
        <v>60</v>
      </c>
      <c r="I93" s="553">
        <v>560</v>
      </c>
      <c r="J93" s="544">
        <v>0</v>
      </c>
      <c r="K93" s="546">
        <v>0</v>
      </c>
      <c r="L93" s="554"/>
      <c r="N93" s="555"/>
      <c r="O93" s="556"/>
    </row>
    <row r="94" spans="1:15" s="550" customFormat="1" ht="13.5" customHeight="1" hidden="1">
      <c r="A94" s="502"/>
      <c r="C94" s="551"/>
      <c r="D94" s="794" t="s">
        <v>540</v>
      </c>
      <c r="E94" s="529" t="s">
        <v>501</v>
      </c>
      <c r="F94" s="530" t="s">
        <v>28</v>
      </c>
      <c r="G94" s="544">
        <v>1.7</v>
      </c>
      <c r="H94" s="552">
        <v>75</v>
      </c>
      <c r="I94" s="553">
        <v>800</v>
      </c>
      <c r="J94" s="544">
        <v>0</v>
      </c>
      <c r="K94" s="546">
        <v>0</v>
      </c>
      <c r="L94" s="554"/>
      <c r="N94" s="555"/>
      <c r="O94" s="556"/>
    </row>
    <row r="95" spans="1:15" s="550" customFormat="1" ht="13.5" customHeight="1" hidden="1">
      <c r="A95" s="502"/>
      <c r="C95" s="551"/>
      <c r="D95" s="795"/>
      <c r="E95" s="529" t="s">
        <v>495</v>
      </c>
      <c r="F95" s="530" t="s">
        <v>28</v>
      </c>
      <c r="G95" s="531">
        <v>2.3</v>
      </c>
      <c r="H95" s="557">
        <v>60</v>
      </c>
      <c r="I95" s="553">
        <v>560</v>
      </c>
      <c r="J95" s="544">
        <v>0</v>
      </c>
      <c r="K95" s="546">
        <v>0</v>
      </c>
      <c r="L95" s="554"/>
      <c r="N95" s="555"/>
      <c r="O95" s="556"/>
    </row>
    <row r="96" spans="1:15" s="537" customFormat="1" ht="18" customHeight="1" hidden="1">
      <c r="A96" s="536"/>
      <c r="C96" s="538"/>
      <c r="D96" s="549" t="s">
        <v>456</v>
      </c>
      <c r="E96" s="560"/>
      <c r="F96" s="539"/>
      <c r="G96" s="539"/>
      <c r="H96" s="540"/>
      <c r="I96" s="561"/>
      <c r="J96" s="539"/>
      <c r="K96" s="539"/>
      <c r="L96" s="541"/>
      <c r="M96" s="550"/>
      <c r="N96" s="555"/>
      <c r="O96" s="556"/>
    </row>
    <row r="97" spans="1:15" s="550" customFormat="1" ht="13.5" customHeight="1" hidden="1">
      <c r="A97" s="502"/>
      <c r="C97" s="551"/>
      <c r="D97" s="794" t="s">
        <v>541</v>
      </c>
      <c r="E97" s="529" t="s">
        <v>501</v>
      </c>
      <c r="F97" s="530" t="s">
        <v>28</v>
      </c>
      <c r="G97" s="544">
        <v>1.6</v>
      </c>
      <c r="H97" s="552">
        <v>75</v>
      </c>
      <c r="I97" s="553">
        <v>800</v>
      </c>
      <c r="J97" s="544">
        <v>0</v>
      </c>
      <c r="K97" s="546">
        <v>0</v>
      </c>
      <c r="L97" s="554"/>
      <c r="N97" s="555"/>
      <c r="O97" s="556"/>
    </row>
    <row r="98" spans="1:15" s="550" customFormat="1" ht="13.5" customHeight="1" hidden="1">
      <c r="A98" s="502"/>
      <c r="C98" s="551"/>
      <c r="D98" s="795"/>
      <c r="E98" s="529" t="s">
        <v>495</v>
      </c>
      <c r="F98" s="530" t="s">
        <v>28</v>
      </c>
      <c r="G98" s="531">
        <v>2.3</v>
      </c>
      <c r="H98" s="557">
        <v>60</v>
      </c>
      <c r="I98" s="553">
        <v>560</v>
      </c>
      <c r="J98" s="544">
        <v>0</v>
      </c>
      <c r="K98" s="546">
        <v>0</v>
      </c>
      <c r="L98" s="554"/>
      <c r="N98" s="555"/>
      <c r="O98" s="556"/>
    </row>
    <row r="99" spans="1:15" s="550" customFormat="1" ht="13.5" customHeight="1" hidden="1">
      <c r="A99" s="502"/>
      <c r="C99" s="551"/>
      <c r="D99" s="794" t="s">
        <v>542</v>
      </c>
      <c r="E99" s="529" t="s">
        <v>501</v>
      </c>
      <c r="F99" s="530" t="s">
        <v>28</v>
      </c>
      <c r="G99" s="544">
        <v>1.6</v>
      </c>
      <c r="H99" s="552">
        <v>75</v>
      </c>
      <c r="I99" s="553">
        <v>800</v>
      </c>
      <c r="J99" s="544">
        <v>0</v>
      </c>
      <c r="K99" s="546">
        <v>0</v>
      </c>
      <c r="L99" s="554"/>
      <c r="N99" s="555"/>
      <c r="O99" s="556"/>
    </row>
    <row r="100" spans="1:15" s="550" customFormat="1" ht="13.5" customHeight="1" hidden="1">
      <c r="A100" s="502"/>
      <c r="C100" s="551"/>
      <c r="D100" s="795"/>
      <c r="E100" s="529" t="s">
        <v>495</v>
      </c>
      <c r="F100" s="530" t="s">
        <v>28</v>
      </c>
      <c r="G100" s="531">
        <v>2.3</v>
      </c>
      <c r="H100" s="557">
        <v>60</v>
      </c>
      <c r="I100" s="553">
        <v>560</v>
      </c>
      <c r="J100" s="544">
        <v>0</v>
      </c>
      <c r="K100" s="546">
        <v>0</v>
      </c>
      <c r="L100" s="554"/>
      <c r="N100" s="555"/>
      <c r="O100" s="556"/>
    </row>
    <row r="101" spans="1:15" s="550" customFormat="1" ht="13.5" customHeight="1" hidden="1">
      <c r="A101" s="502"/>
      <c r="C101" s="551"/>
      <c r="D101" s="794" t="s">
        <v>543</v>
      </c>
      <c r="E101" s="529" t="s">
        <v>501</v>
      </c>
      <c r="F101" s="530" t="s">
        <v>28</v>
      </c>
      <c r="G101" s="544">
        <v>1.6</v>
      </c>
      <c r="H101" s="552">
        <v>75</v>
      </c>
      <c r="I101" s="553">
        <v>800</v>
      </c>
      <c r="J101" s="544">
        <v>0</v>
      </c>
      <c r="K101" s="546">
        <v>0</v>
      </c>
      <c r="L101" s="554"/>
      <c r="N101" s="555"/>
      <c r="O101" s="556"/>
    </row>
    <row r="102" spans="1:15" s="550" customFormat="1" ht="13.5" customHeight="1" hidden="1">
      <c r="A102" s="502"/>
      <c r="C102" s="551"/>
      <c r="D102" s="795"/>
      <c r="E102" s="529" t="s">
        <v>495</v>
      </c>
      <c r="F102" s="530" t="s">
        <v>28</v>
      </c>
      <c r="G102" s="531">
        <v>2.3</v>
      </c>
      <c r="H102" s="557">
        <v>60</v>
      </c>
      <c r="I102" s="553">
        <v>560</v>
      </c>
      <c r="J102" s="544">
        <v>0</v>
      </c>
      <c r="K102" s="546">
        <v>0</v>
      </c>
      <c r="L102" s="554"/>
      <c r="N102" s="555"/>
      <c r="O102" s="556"/>
    </row>
    <row r="103" spans="1:15" s="550" customFormat="1" ht="13.5" customHeight="1" hidden="1">
      <c r="A103" s="502"/>
      <c r="C103" s="551"/>
      <c r="D103" s="547" t="s">
        <v>544</v>
      </c>
      <c r="E103" s="529" t="s">
        <v>495</v>
      </c>
      <c r="F103" s="530" t="s">
        <v>28</v>
      </c>
      <c r="G103" s="531">
        <v>2.3</v>
      </c>
      <c r="H103" s="557">
        <v>60</v>
      </c>
      <c r="I103" s="553">
        <v>560</v>
      </c>
      <c r="J103" s="544">
        <v>0</v>
      </c>
      <c r="K103" s="546">
        <v>0</v>
      </c>
      <c r="L103" s="554"/>
      <c r="N103" s="555"/>
      <c r="O103" s="556"/>
    </row>
    <row r="104" spans="1:15" s="550" customFormat="1" ht="13.5" customHeight="1" hidden="1">
      <c r="A104" s="502"/>
      <c r="C104" s="551"/>
      <c r="D104" s="794" t="s">
        <v>545</v>
      </c>
      <c r="E104" s="529" t="s">
        <v>501</v>
      </c>
      <c r="F104" s="530" t="s">
        <v>28</v>
      </c>
      <c r="G104" s="544">
        <v>1.6</v>
      </c>
      <c r="H104" s="552">
        <v>75</v>
      </c>
      <c r="I104" s="553">
        <v>750</v>
      </c>
      <c r="J104" s="544">
        <v>0</v>
      </c>
      <c r="K104" s="546">
        <v>0</v>
      </c>
      <c r="L104" s="554"/>
      <c r="N104" s="555"/>
      <c r="O104" s="556"/>
    </row>
    <row r="105" spans="1:15" s="550" customFormat="1" ht="13.5" customHeight="1" hidden="1">
      <c r="A105" s="502"/>
      <c r="C105" s="551"/>
      <c r="D105" s="795"/>
      <c r="E105" s="529" t="s">
        <v>495</v>
      </c>
      <c r="F105" s="530" t="s">
        <v>28</v>
      </c>
      <c r="G105" s="531">
        <v>2.3</v>
      </c>
      <c r="H105" s="557">
        <v>60</v>
      </c>
      <c r="I105" s="553">
        <v>560</v>
      </c>
      <c r="J105" s="544">
        <v>0</v>
      </c>
      <c r="K105" s="546">
        <v>0</v>
      </c>
      <c r="L105" s="554"/>
      <c r="N105" s="555"/>
      <c r="O105" s="556"/>
    </row>
    <row r="106" spans="1:15" s="550" customFormat="1" ht="13.5" customHeight="1" hidden="1">
      <c r="A106" s="502"/>
      <c r="C106" s="551"/>
      <c r="D106" s="547" t="s">
        <v>546</v>
      </c>
      <c r="E106" s="529" t="s">
        <v>501</v>
      </c>
      <c r="F106" s="530" t="s">
        <v>28</v>
      </c>
      <c r="G106" s="544">
        <v>1.6</v>
      </c>
      <c r="H106" s="552">
        <v>75</v>
      </c>
      <c r="I106" s="553">
        <v>750</v>
      </c>
      <c r="J106" s="544">
        <v>0</v>
      </c>
      <c r="K106" s="546">
        <v>0</v>
      </c>
      <c r="L106" s="554"/>
      <c r="N106" s="555"/>
      <c r="O106" s="556"/>
    </row>
    <row r="107" spans="1:15" s="550" customFormat="1" ht="13.5" customHeight="1" hidden="1">
      <c r="A107" s="502"/>
      <c r="C107" s="551"/>
      <c r="D107" s="562" t="s">
        <v>547</v>
      </c>
      <c r="E107" s="529" t="s">
        <v>495</v>
      </c>
      <c r="F107" s="530" t="s">
        <v>28</v>
      </c>
      <c r="G107" s="531">
        <v>2.3</v>
      </c>
      <c r="H107" s="557">
        <v>60</v>
      </c>
      <c r="I107" s="553">
        <v>560</v>
      </c>
      <c r="J107" s="544">
        <v>0</v>
      </c>
      <c r="K107" s="546">
        <v>0</v>
      </c>
      <c r="L107" s="554"/>
      <c r="N107" s="555"/>
      <c r="O107" s="556"/>
    </row>
    <row r="108" spans="1:15" s="550" customFormat="1" ht="13.5" customHeight="1" hidden="1">
      <c r="A108" s="502"/>
      <c r="C108" s="551"/>
      <c r="D108" s="794" t="s">
        <v>548</v>
      </c>
      <c r="E108" s="529" t="s">
        <v>501</v>
      </c>
      <c r="F108" s="530" t="s">
        <v>28</v>
      </c>
      <c r="G108" s="544">
        <v>1.6</v>
      </c>
      <c r="H108" s="552">
        <v>75</v>
      </c>
      <c r="I108" s="553">
        <v>800</v>
      </c>
      <c r="J108" s="544">
        <v>0</v>
      </c>
      <c r="K108" s="546">
        <v>0</v>
      </c>
      <c r="L108" s="554"/>
      <c r="N108" s="555"/>
      <c r="O108" s="556"/>
    </row>
    <row r="109" spans="1:15" s="550" customFormat="1" ht="13.5" customHeight="1" hidden="1">
      <c r="A109" s="502"/>
      <c r="C109" s="551"/>
      <c r="D109" s="795"/>
      <c r="E109" s="529" t="s">
        <v>495</v>
      </c>
      <c r="F109" s="530" t="s">
        <v>28</v>
      </c>
      <c r="G109" s="531">
        <v>2.3</v>
      </c>
      <c r="H109" s="557">
        <v>60</v>
      </c>
      <c r="I109" s="553">
        <v>560</v>
      </c>
      <c r="J109" s="544">
        <v>0</v>
      </c>
      <c r="K109" s="546">
        <v>0</v>
      </c>
      <c r="L109" s="554"/>
      <c r="N109" s="555"/>
      <c r="O109" s="556"/>
    </row>
    <row r="110" spans="1:15" s="550" customFormat="1" ht="13.5" customHeight="1" hidden="1">
      <c r="A110" s="502"/>
      <c r="C110" s="551"/>
      <c r="D110" s="794" t="s">
        <v>549</v>
      </c>
      <c r="E110" s="529" t="s">
        <v>501</v>
      </c>
      <c r="F110" s="530" t="s">
        <v>28</v>
      </c>
      <c r="G110" s="544">
        <v>1.6</v>
      </c>
      <c r="H110" s="552">
        <v>75</v>
      </c>
      <c r="I110" s="553">
        <v>800</v>
      </c>
      <c r="J110" s="544">
        <v>0</v>
      </c>
      <c r="K110" s="546">
        <v>0</v>
      </c>
      <c r="L110" s="554"/>
      <c r="N110" s="555"/>
      <c r="O110" s="556"/>
    </row>
    <row r="111" spans="1:15" s="550" customFormat="1" ht="13.5" customHeight="1" hidden="1">
      <c r="A111" s="502"/>
      <c r="C111" s="551"/>
      <c r="D111" s="795"/>
      <c r="E111" s="529" t="s">
        <v>495</v>
      </c>
      <c r="F111" s="530" t="s">
        <v>28</v>
      </c>
      <c r="G111" s="531">
        <v>2.3</v>
      </c>
      <c r="H111" s="557">
        <v>60</v>
      </c>
      <c r="I111" s="553">
        <v>560</v>
      </c>
      <c r="J111" s="544">
        <v>0</v>
      </c>
      <c r="K111" s="546">
        <v>0</v>
      </c>
      <c r="L111" s="554"/>
      <c r="N111" s="555"/>
      <c r="O111" s="556"/>
    </row>
    <row r="112" spans="1:15" s="550" customFormat="1" ht="13.5" customHeight="1" hidden="1">
      <c r="A112" s="502"/>
      <c r="C112" s="551"/>
      <c r="D112" s="794" t="s">
        <v>550</v>
      </c>
      <c r="E112" s="529" t="s">
        <v>501</v>
      </c>
      <c r="F112" s="530" t="s">
        <v>28</v>
      </c>
      <c r="G112" s="544">
        <v>1.6</v>
      </c>
      <c r="H112" s="552">
        <v>75</v>
      </c>
      <c r="I112" s="553">
        <v>800</v>
      </c>
      <c r="J112" s="544">
        <v>0</v>
      </c>
      <c r="K112" s="546">
        <v>0</v>
      </c>
      <c r="L112" s="554"/>
      <c r="N112" s="555"/>
      <c r="O112" s="556"/>
    </row>
    <row r="113" spans="1:15" s="550" customFormat="1" ht="13.5" customHeight="1" hidden="1">
      <c r="A113" s="502"/>
      <c r="C113" s="551"/>
      <c r="D113" s="795"/>
      <c r="E113" s="529" t="s">
        <v>495</v>
      </c>
      <c r="F113" s="530" t="s">
        <v>28</v>
      </c>
      <c r="G113" s="531">
        <v>2.3</v>
      </c>
      <c r="H113" s="557">
        <v>60</v>
      </c>
      <c r="I113" s="553">
        <v>560</v>
      </c>
      <c r="J113" s="544">
        <v>0</v>
      </c>
      <c r="K113" s="546">
        <v>0</v>
      </c>
      <c r="L113" s="554"/>
      <c r="N113" s="555"/>
      <c r="O113" s="556"/>
    </row>
    <row r="114" spans="1:15" s="550" customFormat="1" ht="13.5" customHeight="1" hidden="1">
      <c r="A114" s="502"/>
      <c r="C114" s="551"/>
      <c r="D114" s="794" t="s">
        <v>551</v>
      </c>
      <c r="E114" s="529" t="s">
        <v>501</v>
      </c>
      <c r="F114" s="530" t="s">
        <v>28</v>
      </c>
      <c r="G114" s="544">
        <v>1.6</v>
      </c>
      <c r="H114" s="552">
        <v>75</v>
      </c>
      <c r="I114" s="553">
        <v>800</v>
      </c>
      <c r="J114" s="544">
        <v>0</v>
      </c>
      <c r="K114" s="546">
        <v>0</v>
      </c>
      <c r="L114" s="554"/>
      <c r="N114" s="555"/>
      <c r="O114" s="556"/>
    </row>
    <row r="115" spans="1:15" s="550" customFormat="1" ht="13.5" customHeight="1" hidden="1">
      <c r="A115" s="502"/>
      <c r="C115" s="551"/>
      <c r="D115" s="795"/>
      <c r="E115" s="529" t="s">
        <v>495</v>
      </c>
      <c r="F115" s="530" t="s">
        <v>28</v>
      </c>
      <c r="G115" s="531">
        <v>2.3</v>
      </c>
      <c r="H115" s="557">
        <v>60</v>
      </c>
      <c r="I115" s="553">
        <v>560</v>
      </c>
      <c r="J115" s="544">
        <v>0</v>
      </c>
      <c r="K115" s="546">
        <v>0</v>
      </c>
      <c r="L115" s="554"/>
      <c r="N115" s="555"/>
      <c r="O115" s="556"/>
    </row>
    <row r="116" spans="1:15" s="550" customFormat="1" ht="13.5" customHeight="1" hidden="1">
      <c r="A116" s="502"/>
      <c r="C116" s="551"/>
      <c r="D116" s="798" t="s">
        <v>552</v>
      </c>
      <c r="E116" s="529" t="s">
        <v>501</v>
      </c>
      <c r="F116" s="57" t="s">
        <v>28</v>
      </c>
      <c r="G116" s="466">
        <v>1.6</v>
      </c>
      <c r="H116" s="563">
        <v>75</v>
      </c>
      <c r="I116" s="44">
        <v>796</v>
      </c>
      <c r="J116" s="466">
        <v>0</v>
      </c>
      <c r="K116" s="45">
        <v>0</v>
      </c>
      <c r="L116" s="554"/>
      <c r="N116" s="555"/>
      <c r="O116" s="556"/>
    </row>
    <row r="117" spans="1:15" s="550" customFormat="1" ht="13.5" customHeight="1" hidden="1">
      <c r="A117" s="502"/>
      <c r="C117" s="551"/>
      <c r="D117" s="799"/>
      <c r="E117" s="529" t="s">
        <v>495</v>
      </c>
      <c r="F117" s="57" t="s">
        <v>28</v>
      </c>
      <c r="G117" s="415">
        <v>2.3</v>
      </c>
      <c r="H117" s="564">
        <v>60</v>
      </c>
      <c r="I117" s="44">
        <v>560</v>
      </c>
      <c r="J117" s="466">
        <v>0</v>
      </c>
      <c r="K117" s="45">
        <v>0</v>
      </c>
      <c r="L117" s="554"/>
      <c r="N117" s="555"/>
      <c r="O117" s="556"/>
    </row>
    <row r="118" spans="1:15" s="550" customFormat="1" ht="13.5" customHeight="1" hidden="1">
      <c r="A118" s="502"/>
      <c r="C118" s="551"/>
      <c r="D118" s="794" t="s">
        <v>553</v>
      </c>
      <c r="E118" s="529" t="s">
        <v>501</v>
      </c>
      <c r="F118" s="530" t="s">
        <v>28</v>
      </c>
      <c r="G118" s="544">
        <v>1.6</v>
      </c>
      <c r="H118" s="552">
        <v>75</v>
      </c>
      <c r="I118" s="553">
        <v>800</v>
      </c>
      <c r="J118" s="544">
        <v>0</v>
      </c>
      <c r="K118" s="546">
        <v>0</v>
      </c>
      <c r="L118" s="554"/>
      <c r="N118" s="555"/>
      <c r="O118" s="556"/>
    </row>
    <row r="119" spans="1:15" s="550" customFormat="1" ht="13.5" customHeight="1" hidden="1">
      <c r="A119" s="502"/>
      <c r="C119" s="551"/>
      <c r="D119" s="795"/>
      <c r="E119" s="529" t="s">
        <v>495</v>
      </c>
      <c r="F119" s="530" t="s">
        <v>28</v>
      </c>
      <c r="G119" s="531">
        <v>2.3</v>
      </c>
      <c r="H119" s="557">
        <v>60</v>
      </c>
      <c r="I119" s="553">
        <v>560</v>
      </c>
      <c r="J119" s="544">
        <v>0</v>
      </c>
      <c r="K119" s="546">
        <v>0</v>
      </c>
      <c r="L119" s="554"/>
      <c r="N119" s="555"/>
      <c r="O119" s="556"/>
    </row>
    <row r="120" spans="1:15" s="550" customFormat="1" ht="13.5" customHeight="1" hidden="1">
      <c r="A120" s="502"/>
      <c r="C120" s="551"/>
      <c r="D120" s="794" t="s">
        <v>554</v>
      </c>
      <c r="E120" s="529" t="s">
        <v>501</v>
      </c>
      <c r="F120" s="530" t="s">
        <v>28</v>
      </c>
      <c r="G120" s="544">
        <v>1.6</v>
      </c>
      <c r="H120" s="552">
        <v>75</v>
      </c>
      <c r="I120" s="553">
        <v>800</v>
      </c>
      <c r="J120" s="544">
        <v>0</v>
      </c>
      <c r="K120" s="546">
        <v>0</v>
      </c>
      <c r="L120" s="554"/>
      <c r="N120" s="555"/>
      <c r="O120" s="556"/>
    </row>
    <row r="121" spans="1:15" s="550" customFormat="1" ht="13.5" customHeight="1" hidden="1">
      <c r="A121" s="502"/>
      <c r="C121" s="551"/>
      <c r="D121" s="795"/>
      <c r="E121" s="529" t="s">
        <v>495</v>
      </c>
      <c r="F121" s="530" t="s">
        <v>28</v>
      </c>
      <c r="G121" s="531">
        <v>2.3</v>
      </c>
      <c r="H121" s="557">
        <v>60</v>
      </c>
      <c r="I121" s="553">
        <v>560</v>
      </c>
      <c r="J121" s="544">
        <v>0</v>
      </c>
      <c r="K121" s="546">
        <v>0</v>
      </c>
      <c r="L121" s="554"/>
      <c r="N121" s="555"/>
      <c r="O121" s="556"/>
    </row>
    <row r="122" spans="1:15" s="550" customFormat="1" ht="13.5" customHeight="1" hidden="1">
      <c r="A122" s="502"/>
      <c r="C122" s="551"/>
      <c r="D122" s="794" t="s">
        <v>555</v>
      </c>
      <c r="E122" s="529" t="s">
        <v>501</v>
      </c>
      <c r="F122" s="530" t="s">
        <v>28</v>
      </c>
      <c r="G122" s="544">
        <v>1.6</v>
      </c>
      <c r="H122" s="552">
        <v>75</v>
      </c>
      <c r="I122" s="553">
        <v>800</v>
      </c>
      <c r="J122" s="544">
        <v>0</v>
      </c>
      <c r="K122" s="546">
        <v>0</v>
      </c>
      <c r="L122" s="554"/>
      <c r="N122" s="555"/>
      <c r="O122" s="556"/>
    </row>
    <row r="123" spans="1:15" s="550" customFormat="1" ht="13.5" customHeight="1" hidden="1">
      <c r="A123" s="502"/>
      <c r="C123" s="551"/>
      <c r="D123" s="795"/>
      <c r="E123" s="529" t="s">
        <v>495</v>
      </c>
      <c r="F123" s="530" t="s">
        <v>28</v>
      </c>
      <c r="G123" s="531">
        <v>2.3</v>
      </c>
      <c r="H123" s="557">
        <v>60</v>
      </c>
      <c r="I123" s="553">
        <v>560</v>
      </c>
      <c r="J123" s="544">
        <v>0</v>
      </c>
      <c r="K123" s="546">
        <v>0</v>
      </c>
      <c r="L123" s="554"/>
      <c r="N123" s="555"/>
      <c r="O123" s="556"/>
    </row>
    <row r="124" spans="1:15" s="550" customFormat="1" ht="13.5" customHeight="1" hidden="1">
      <c r="A124" s="502"/>
      <c r="C124" s="551"/>
      <c r="D124" s="794" t="s">
        <v>556</v>
      </c>
      <c r="E124" s="529" t="s">
        <v>501</v>
      </c>
      <c r="F124" s="530" t="s">
        <v>28</v>
      </c>
      <c r="G124" s="544">
        <v>1.6</v>
      </c>
      <c r="H124" s="552">
        <v>75</v>
      </c>
      <c r="I124" s="553">
        <v>800</v>
      </c>
      <c r="J124" s="544">
        <v>0</v>
      </c>
      <c r="K124" s="546">
        <v>0</v>
      </c>
      <c r="L124" s="554"/>
      <c r="N124" s="555"/>
      <c r="O124" s="556"/>
    </row>
    <row r="125" spans="1:15" s="550" customFormat="1" ht="13.5" customHeight="1" hidden="1">
      <c r="A125" s="502"/>
      <c r="C125" s="551"/>
      <c r="D125" s="795"/>
      <c r="E125" s="529" t="s">
        <v>495</v>
      </c>
      <c r="F125" s="530" t="s">
        <v>28</v>
      </c>
      <c r="G125" s="531">
        <v>2.3</v>
      </c>
      <c r="H125" s="557">
        <v>60</v>
      </c>
      <c r="I125" s="553">
        <v>560</v>
      </c>
      <c r="J125" s="544">
        <v>0</v>
      </c>
      <c r="K125" s="546">
        <v>0</v>
      </c>
      <c r="L125" s="554"/>
      <c r="N125" s="555"/>
      <c r="O125" s="556"/>
    </row>
    <row r="126" spans="1:15" s="550" customFormat="1" ht="13.5" customHeight="1" hidden="1">
      <c r="A126" s="502"/>
      <c r="C126" s="551"/>
      <c r="D126" s="794" t="s">
        <v>557</v>
      </c>
      <c r="E126" s="529" t="s">
        <v>501</v>
      </c>
      <c r="F126" s="530" t="s">
        <v>28</v>
      </c>
      <c r="G126" s="544">
        <v>1.6</v>
      </c>
      <c r="H126" s="552">
        <v>75</v>
      </c>
      <c r="I126" s="553">
        <v>800</v>
      </c>
      <c r="J126" s="544">
        <v>0</v>
      </c>
      <c r="K126" s="546">
        <v>0</v>
      </c>
      <c r="L126" s="554"/>
      <c r="N126" s="555"/>
      <c r="O126" s="556"/>
    </row>
    <row r="127" spans="1:15" s="550" customFormat="1" ht="13.5" customHeight="1" hidden="1">
      <c r="A127" s="502"/>
      <c r="C127" s="551"/>
      <c r="D127" s="795"/>
      <c r="E127" s="529" t="s">
        <v>495</v>
      </c>
      <c r="F127" s="530" t="s">
        <v>28</v>
      </c>
      <c r="G127" s="531">
        <v>2.3</v>
      </c>
      <c r="H127" s="557">
        <v>60</v>
      </c>
      <c r="I127" s="553">
        <v>560</v>
      </c>
      <c r="J127" s="544">
        <v>0</v>
      </c>
      <c r="K127" s="546">
        <v>0</v>
      </c>
      <c r="L127" s="554"/>
      <c r="N127" s="555"/>
      <c r="O127" s="556"/>
    </row>
    <row r="128" spans="1:15" s="550" customFormat="1" ht="13.5" customHeight="1" hidden="1">
      <c r="A128" s="502"/>
      <c r="C128" s="551"/>
      <c r="D128" s="794" t="s">
        <v>558</v>
      </c>
      <c r="E128" s="529" t="s">
        <v>501</v>
      </c>
      <c r="F128" s="530" t="s">
        <v>28</v>
      </c>
      <c r="G128" s="544">
        <v>1.6</v>
      </c>
      <c r="H128" s="552">
        <v>75</v>
      </c>
      <c r="I128" s="553">
        <v>800</v>
      </c>
      <c r="J128" s="544">
        <v>0</v>
      </c>
      <c r="K128" s="546">
        <v>0</v>
      </c>
      <c r="L128" s="554"/>
      <c r="N128" s="555"/>
      <c r="O128" s="556"/>
    </row>
    <row r="129" spans="1:15" s="550" customFormat="1" ht="13.5" customHeight="1" hidden="1">
      <c r="A129" s="502"/>
      <c r="C129" s="551"/>
      <c r="D129" s="795"/>
      <c r="E129" s="529" t="s">
        <v>495</v>
      </c>
      <c r="F129" s="530" t="s">
        <v>28</v>
      </c>
      <c r="G129" s="531">
        <v>2.3</v>
      </c>
      <c r="H129" s="557">
        <v>60</v>
      </c>
      <c r="I129" s="553">
        <v>560</v>
      </c>
      <c r="J129" s="544">
        <v>0</v>
      </c>
      <c r="K129" s="546">
        <v>0</v>
      </c>
      <c r="L129" s="554"/>
      <c r="N129" s="555"/>
      <c r="O129" s="556"/>
    </row>
    <row r="130" spans="1:15" s="550" customFormat="1" ht="13.5" customHeight="1" hidden="1">
      <c r="A130" s="502"/>
      <c r="C130" s="551"/>
      <c r="D130" s="794" t="s">
        <v>559</v>
      </c>
      <c r="E130" s="529" t="s">
        <v>501</v>
      </c>
      <c r="F130" s="530" t="s">
        <v>28</v>
      </c>
      <c r="G130" s="544">
        <v>1.6</v>
      </c>
      <c r="H130" s="552">
        <v>75</v>
      </c>
      <c r="I130" s="553">
        <v>800</v>
      </c>
      <c r="J130" s="544">
        <v>0</v>
      </c>
      <c r="K130" s="546">
        <v>0</v>
      </c>
      <c r="L130" s="554"/>
      <c r="N130" s="555"/>
      <c r="O130" s="556"/>
    </row>
    <row r="131" spans="1:15" s="550" customFormat="1" ht="13.5" customHeight="1" hidden="1">
      <c r="A131" s="502"/>
      <c r="C131" s="551"/>
      <c r="D131" s="795"/>
      <c r="E131" s="529" t="s">
        <v>495</v>
      </c>
      <c r="F131" s="530" t="s">
        <v>28</v>
      </c>
      <c r="G131" s="531">
        <v>2.3</v>
      </c>
      <c r="H131" s="557">
        <v>60</v>
      </c>
      <c r="I131" s="553">
        <v>560</v>
      </c>
      <c r="J131" s="544">
        <v>0</v>
      </c>
      <c r="K131" s="546">
        <v>0</v>
      </c>
      <c r="L131" s="554"/>
      <c r="N131" s="555"/>
      <c r="O131" s="556"/>
    </row>
    <row r="132" spans="1:15" s="550" customFormat="1" ht="13.5" customHeight="1" hidden="1">
      <c r="A132" s="502"/>
      <c r="C132" s="551"/>
      <c r="D132" s="562" t="s">
        <v>560</v>
      </c>
      <c r="E132" s="529" t="s">
        <v>495</v>
      </c>
      <c r="F132" s="530" t="s">
        <v>28</v>
      </c>
      <c r="G132" s="531">
        <v>2.3</v>
      </c>
      <c r="H132" s="557">
        <v>60</v>
      </c>
      <c r="I132" s="553">
        <v>560</v>
      </c>
      <c r="J132" s="544">
        <v>0</v>
      </c>
      <c r="K132" s="546">
        <v>0</v>
      </c>
      <c r="L132" s="554"/>
      <c r="N132" s="555"/>
      <c r="O132" s="556"/>
    </row>
    <row r="133" spans="1:15" s="537" customFormat="1" ht="18" customHeight="1" hidden="1">
      <c r="A133" s="502"/>
      <c r="B133" s="550"/>
      <c r="C133" s="538"/>
      <c r="D133" s="549" t="s">
        <v>561</v>
      </c>
      <c r="E133" s="565"/>
      <c r="F133" s="539"/>
      <c r="G133" s="539"/>
      <c r="H133" s="540"/>
      <c r="I133" s="561"/>
      <c r="J133" s="539"/>
      <c r="K133" s="539"/>
      <c r="L133" s="541"/>
      <c r="M133" s="550"/>
      <c r="N133" s="555"/>
      <c r="O133" s="556"/>
    </row>
    <row r="134" spans="1:15" s="550" customFormat="1" ht="13.5" customHeight="1" hidden="1">
      <c r="A134" s="502"/>
      <c r="C134" s="551"/>
      <c r="D134" s="794" t="s">
        <v>562</v>
      </c>
      <c r="E134" s="529" t="s">
        <v>501</v>
      </c>
      <c r="F134" s="530" t="s">
        <v>28</v>
      </c>
      <c r="G134" s="544">
        <v>1.6</v>
      </c>
      <c r="H134" s="552">
        <v>75</v>
      </c>
      <c r="I134" s="553">
        <v>800</v>
      </c>
      <c r="J134" s="544">
        <v>0</v>
      </c>
      <c r="K134" s="546">
        <v>0</v>
      </c>
      <c r="L134" s="554"/>
      <c r="N134" s="555"/>
      <c r="O134" s="556"/>
    </row>
    <row r="135" spans="1:15" s="550" customFormat="1" ht="13.5" customHeight="1" hidden="1">
      <c r="A135" s="502"/>
      <c r="C135" s="551"/>
      <c r="D135" s="795"/>
      <c r="E135" s="529" t="s">
        <v>495</v>
      </c>
      <c r="F135" s="530" t="s">
        <v>28</v>
      </c>
      <c r="G135" s="531">
        <v>2.3</v>
      </c>
      <c r="H135" s="557">
        <v>60</v>
      </c>
      <c r="I135" s="553">
        <v>560</v>
      </c>
      <c r="J135" s="544">
        <v>0</v>
      </c>
      <c r="K135" s="546">
        <v>0</v>
      </c>
      <c r="L135" s="554"/>
      <c r="N135" s="555"/>
      <c r="O135" s="556"/>
    </row>
    <row r="136" spans="1:15" s="550" customFormat="1" ht="13.5" customHeight="1" hidden="1">
      <c r="A136" s="502"/>
      <c r="C136" s="551"/>
      <c r="D136" s="562" t="s">
        <v>563</v>
      </c>
      <c r="E136" s="529" t="s">
        <v>495</v>
      </c>
      <c r="F136" s="530" t="s">
        <v>28</v>
      </c>
      <c r="G136" s="531">
        <v>2.3</v>
      </c>
      <c r="H136" s="557">
        <v>60</v>
      </c>
      <c r="I136" s="553">
        <v>560</v>
      </c>
      <c r="J136" s="544">
        <v>0</v>
      </c>
      <c r="K136" s="546">
        <v>0</v>
      </c>
      <c r="L136" s="554"/>
      <c r="N136" s="555"/>
      <c r="O136" s="556"/>
    </row>
    <row r="137" spans="1:15" s="550" customFormat="1" ht="13.5" customHeight="1" hidden="1">
      <c r="A137" s="502"/>
      <c r="C137" s="551"/>
      <c r="D137" s="794" t="s">
        <v>564</v>
      </c>
      <c r="E137" s="529" t="s">
        <v>501</v>
      </c>
      <c r="F137" s="530" t="s">
        <v>28</v>
      </c>
      <c r="G137" s="544">
        <v>1.6</v>
      </c>
      <c r="H137" s="552">
        <v>75</v>
      </c>
      <c r="I137" s="553">
        <v>800</v>
      </c>
      <c r="J137" s="544">
        <v>0</v>
      </c>
      <c r="K137" s="546">
        <v>0</v>
      </c>
      <c r="L137" s="554"/>
      <c r="N137" s="555"/>
      <c r="O137" s="556"/>
    </row>
    <row r="138" spans="1:15" s="550" customFormat="1" ht="13.5" customHeight="1" hidden="1">
      <c r="A138" s="502"/>
      <c r="C138" s="551"/>
      <c r="D138" s="795"/>
      <c r="E138" s="529" t="s">
        <v>495</v>
      </c>
      <c r="F138" s="530" t="s">
        <v>28</v>
      </c>
      <c r="G138" s="531">
        <v>2.3</v>
      </c>
      <c r="H138" s="557">
        <v>60</v>
      </c>
      <c r="I138" s="553">
        <v>560</v>
      </c>
      <c r="J138" s="544">
        <v>0</v>
      </c>
      <c r="K138" s="546">
        <v>0</v>
      </c>
      <c r="L138" s="554"/>
      <c r="N138" s="555"/>
      <c r="O138" s="556"/>
    </row>
    <row r="139" spans="1:15" s="550" customFormat="1" ht="13.5" customHeight="1" hidden="1">
      <c r="A139" s="502"/>
      <c r="C139" s="551"/>
      <c r="D139" s="794" t="s">
        <v>565</v>
      </c>
      <c r="E139" s="529" t="s">
        <v>501</v>
      </c>
      <c r="F139" s="530" t="s">
        <v>28</v>
      </c>
      <c r="G139" s="544">
        <v>1.6</v>
      </c>
      <c r="H139" s="552">
        <v>75</v>
      </c>
      <c r="I139" s="553">
        <v>800</v>
      </c>
      <c r="J139" s="544">
        <v>0</v>
      </c>
      <c r="K139" s="546">
        <v>0</v>
      </c>
      <c r="L139" s="554"/>
      <c r="N139" s="555"/>
      <c r="O139" s="556"/>
    </row>
    <row r="140" spans="1:15" s="550" customFormat="1" ht="13.5" customHeight="1" hidden="1">
      <c r="A140" s="502"/>
      <c r="C140" s="551"/>
      <c r="D140" s="795"/>
      <c r="E140" s="529" t="s">
        <v>495</v>
      </c>
      <c r="F140" s="530" t="s">
        <v>28</v>
      </c>
      <c r="G140" s="531">
        <v>2.3</v>
      </c>
      <c r="H140" s="557">
        <v>60</v>
      </c>
      <c r="I140" s="553">
        <v>560</v>
      </c>
      <c r="J140" s="544">
        <v>0</v>
      </c>
      <c r="K140" s="546">
        <v>0</v>
      </c>
      <c r="L140" s="554"/>
      <c r="N140" s="555"/>
      <c r="O140" s="556"/>
    </row>
    <row r="141" spans="1:15" s="550" customFormat="1" ht="13.5" customHeight="1" hidden="1">
      <c r="A141" s="502"/>
      <c r="C141" s="551"/>
      <c r="D141" s="794" t="s">
        <v>566</v>
      </c>
      <c r="E141" s="529" t="s">
        <v>501</v>
      </c>
      <c r="F141" s="530" t="s">
        <v>28</v>
      </c>
      <c r="G141" s="544">
        <v>1.6</v>
      </c>
      <c r="H141" s="552">
        <v>75</v>
      </c>
      <c r="I141" s="553">
        <v>800</v>
      </c>
      <c r="J141" s="544">
        <v>0</v>
      </c>
      <c r="K141" s="546">
        <v>0</v>
      </c>
      <c r="L141" s="554"/>
      <c r="N141" s="555"/>
      <c r="O141" s="556"/>
    </row>
    <row r="142" spans="1:15" s="550" customFormat="1" ht="13.5" customHeight="1" hidden="1">
      <c r="A142" s="502"/>
      <c r="C142" s="551"/>
      <c r="D142" s="795"/>
      <c r="E142" s="529" t="s">
        <v>495</v>
      </c>
      <c r="F142" s="530" t="s">
        <v>28</v>
      </c>
      <c r="G142" s="531">
        <v>2.3</v>
      </c>
      <c r="H142" s="557">
        <v>60</v>
      </c>
      <c r="I142" s="553">
        <v>560</v>
      </c>
      <c r="J142" s="544">
        <v>0</v>
      </c>
      <c r="K142" s="546">
        <v>0</v>
      </c>
      <c r="L142" s="554"/>
      <c r="N142" s="555"/>
      <c r="O142" s="556"/>
    </row>
    <row r="143" spans="1:15" s="550" customFormat="1" ht="13.5" customHeight="1" hidden="1">
      <c r="A143" s="502"/>
      <c r="C143" s="551"/>
      <c r="D143" s="794" t="s">
        <v>567</v>
      </c>
      <c r="E143" s="529" t="s">
        <v>501</v>
      </c>
      <c r="F143" s="530" t="s">
        <v>28</v>
      </c>
      <c r="G143" s="544">
        <v>1.6</v>
      </c>
      <c r="H143" s="552">
        <v>75</v>
      </c>
      <c r="I143" s="553">
        <v>800</v>
      </c>
      <c r="J143" s="544">
        <v>0</v>
      </c>
      <c r="K143" s="546">
        <v>0</v>
      </c>
      <c r="L143" s="554"/>
      <c r="N143" s="555"/>
      <c r="O143" s="556"/>
    </row>
    <row r="144" spans="1:15" s="550" customFormat="1" ht="13.5" customHeight="1" hidden="1">
      <c r="A144" s="502"/>
      <c r="C144" s="551"/>
      <c r="D144" s="795"/>
      <c r="E144" s="529" t="s">
        <v>495</v>
      </c>
      <c r="F144" s="530" t="s">
        <v>28</v>
      </c>
      <c r="G144" s="531">
        <v>2.3</v>
      </c>
      <c r="H144" s="557">
        <v>60</v>
      </c>
      <c r="I144" s="553">
        <v>560</v>
      </c>
      <c r="J144" s="544">
        <v>0</v>
      </c>
      <c r="K144" s="546">
        <v>0</v>
      </c>
      <c r="L144" s="554"/>
      <c r="N144" s="555"/>
      <c r="O144" s="556"/>
    </row>
    <row r="145" spans="1:15" s="550" customFormat="1" ht="13.5" customHeight="1" hidden="1">
      <c r="A145" s="502"/>
      <c r="C145" s="551"/>
      <c r="D145" s="794" t="s">
        <v>568</v>
      </c>
      <c r="E145" s="529" t="s">
        <v>501</v>
      </c>
      <c r="F145" s="530" t="s">
        <v>28</v>
      </c>
      <c r="G145" s="544">
        <v>1.6</v>
      </c>
      <c r="H145" s="552">
        <v>75</v>
      </c>
      <c r="I145" s="553">
        <v>800</v>
      </c>
      <c r="J145" s="544">
        <v>0</v>
      </c>
      <c r="K145" s="546">
        <v>0</v>
      </c>
      <c r="L145" s="554"/>
      <c r="N145" s="555"/>
      <c r="O145" s="556"/>
    </row>
    <row r="146" spans="1:15" s="550" customFormat="1" ht="13.5" customHeight="1" hidden="1">
      <c r="A146" s="502"/>
      <c r="C146" s="551"/>
      <c r="D146" s="795"/>
      <c r="E146" s="529" t="s">
        <v>495</v>
      </c>
      <c r="F146" s="530" t="s">
        <v>28</v>
      </c>
      <c r="G146" s="531">
        <v>2.3</v>
      </c>
      <c r="H146" s="557">
        <v>60</v>
      </c>
      <c r="I146" s="553">
        <v>560</v>
      </c>
      <c r="J146" s="544">
        <v>0</v>
      </c>
      <c r="K146" s="546">
        <v>0</v>
      </c>
      <c r="L146" s="554"/>
      <c r="N146" s="555"/>
      <c r="O146" s="556"/>
    </row>
    <row r="147" spans="1:15" s="550" customFormat="1" ht="13.5" customHeight="1" hidden="1">
      <c r="A147" s="502"/>
      <c r="C147" s="551"/>
      <c r="D147" s="794" t="s">
        <v>569</v>
      </c>
      <c r="E147" s="529" t="s">
        <v>501</v>
      </c>
      <c r="F147" s="530" t="s">
        <v>28</v>
      </c>
      <c r="G147" s="544">
        <v>1.6</v>
      </c>
      <c r="H147" s="552">
        <v>75</v>
      </c>
      <c r="I147" s="553">
        <v>800</v>
      </c>
      <c r="J147" s="544">
        <v>0</v>
      </c>
      <c r="K147" s="546">
        <v>0</v>
      </c>
      <c r="L147" s="554"/>
      <c r="N147" s="555"/>
      <c r="O147" s="556"/>
    </row>
    <row r="148" spans="1:15" s="550" customFormat="1" ht="13.5" customHeight="1" hidden="1">
      <c r="A148" s="502"/>
      <c r="C148" s="551"/>
      <c r="D148" s="795"/>
      <c r="E148" s="529" t="s">
        <v>495</v>
      </c>
      <c r="F148" s="530" t="s">
        <v>28</v>
      </c>
      <c r="G148" s="531">
        <v>2.3</v>
      </c>
      <c r="H148" s="557">
        <v>60</v>
      </c>
      <c r="I148" s="553">
        <v>560</v>
      </c>
      <c r="J148" s="544">
        <v>0</v>
      </c>
      <c r="K148" s="546">
        <v>0</v>
      </c>
      <c r="L148" s="554"/>
      <c r="N148" s="555"/>
      <c r="O148" s="556"/>
    </row>
    <row r="149" spans="1:15" s="550" customFormat="1" ht="13.5" customHeight="1" hidden="1">
      <c r="A149" s="502"/>
      <c r="C149" s="551"/>
      <c r="D149" s="794" t="s">
        <v>570</v>
      </c>
      <c r="E149" s="529" t="s">
        <v>501</v>
      </c>
      <c r="F149" s="530" t="s">
        <v>28</v>
      </c>
      <c r="G149" s="544">
        <v>1.6</v>
      </c>
      <c r="H149" s="552">
        <v>75</v>
      </c>
      <c r="I149" s="553">
        <v>800</v>
      </c>
      <c r="J149" s="544">
        <v>0</v>
      </c>
      <c r="K149" s="546">
        <v>0</v>
      </c>
      <c r="L149" s="554"/>
      <c r="N149" s="555"/>
      <c r="O149" s="556"/>
    </row>
    <row r="150" spans="1:15" s="550" customFormat="1" ht="13.5" customHeight="1" hidden="1">
      <c r="A150" s="502"/>
      <c r="C150" s="551"/>
      <c r="D150" s="795"/>
      <c r="E150" s="529" t="s">
        <v>495</v>
      </c>
      <c r="F150" s="530" t="s">
        <v>28</v>
      </c>
      <c r="G150" s="531">
        <v>2.3</v>
      </c>
      <c r="H150" s="557">
        <v>60</v>
      </c>
      <c r="I150" s="553">
        <v>560</v>
      </c>
      <c r="J150" s="544">
        <v>0</v>
      </c>
      <c r="K150" s="546">
        <v>0</v>
      </c>
      <c r="L150" s="554"/>
      <c r="N150" s="555"/>
      <c r="O150" s="556"/>
    </row>
    <row r="151" spans="1:15" s="537" customFormat="1" ht="18" customHeight="1" hidden="1">
      <c r="A151" s="502"/>
      <c r="B151" s="550"/>
      <c r="C151" s="538"/>
      <c r="D151" s="549" t="s">
        <v>477</v>
      </c>
      <c r="E151" s="565"/>
      <c r="F151" s="539"/>
      <c r="G151" s="539"/>
      <c r="H151" s="540"/>
      <c r="I151" s="561"/>
      <c r="J151" s="539"/>
      <c r="K151" s="539"/>
      <c r="L151" s="541"/>
      <c r="M151" s="550"/>
      <c r="N151" s="555"/>
      <c r="O151" s="556"/>
    </row>
    <row r="152" spans="1:15" s="550" customFormat="1" ht="13.5" customHeight="1" hidden="1">
      <c r="A152" s="502"/>
      <c r="C152" s="551"/>
      <c r="D152" s="800" t="s">
        <v>571</v>
      </c>
      <c r="E152" s="529" t="s">
        <v>501</v>
      </c>
      <c r="F152" s="530" t="s">
        <v>28</v>
      </c>
      <c r="G152" s="544">
        <v>1.6</v>
      </c>
      <c r="H152" s="552">
        <v>75</v>
      </c>
      <c r="I152" s="553">
        <v>800</v>
      </c>
      <c r="J152" s="544">
        <v>0</v>
      </c>
      <c r="K152" s="546">
        <v>0</v>
      </c>
      <c r="L152" s="554"/>
      <c r="N152" s="555"/>
      <c r="O152" s="556"/>
    </row>
    <row r="153" spans="1:15" s="167" customFormat="1" ht="13.5" customHeight="1" hidden="1">
      <c r="A153" s="536"/>
      <c r="B153" s="537"/>
      <c r="C153" s="460"/>
      <c r="D153" s="801"/>
      <c r="E153" s="529" t="s">
        <v>495</v>
      </c>
      <c r="F153" s="57" t="s">
        <v>28</v>
      </c>
      <c r="G153" s="415">
        <v>2.3</v>
      </c>
      <c r="H153" s="564">
        <v>60</v>
      </c>
      <c r="I153" s="553">
        <v>560</v>
      </c>
      <c r="J153" s="544">
        <v>0</v>
      </c>
      <c r="K153" s="546">
        <v>0</v>
      </c>
      <c r="L153" s="463"/>
      <c r="M153" s="550"/>
      <c r="N153" s="555"/>
      <c r="O153" s="556"/>
    </row>
    <row r="154" spans="1:15" s="550" customFormat="1" ht="13.5" customHeight="1" hidden="1">
      <c r="A154" s="502"/>
      <c r="C154" s="551"/>
      <c r="D154" s="800" t="s">
        <v>572</v>
      </c>
      <c r="E154" s="529" t="s">
        <v>501</v>
      </c>
      <c r="F154" s="530" t="s">
        <v>28</v>
      </c>
      <c r="G154" s="544">
        <v>1.6</v>
      </c>
      <c r="H154" s="552">
        <v>75</v>
      </c>
      <c r="I154" s="553">
        <v>800</v>
      </c>
      <c r="J154" s="544">
        <v>0</v>
      </c>
      <c r="K154" s="546">
        <v>0</v>
      </c>
      <c r="L154" s="554"/>
      <c r="N154" s="555"/>
      <c r="O154" s="556"/>
    </row>
    <row r="155" spans="1:15" s="167" customFormat="1" ht="13.5" customHeight="1" hidden="1">
      <c r="A155" s="536"/>
      <c r="B155" s="537"/>
      <c r="C155" s="460"/>
      <c r="D155" s="801"/>
      <c r="E155" s="529" t="s">
        <v>495</v>
      </c>
      <c r="F155" s="57" t="s">
        <v>28</v>
      </c>
      <c r="G155" s="415">
        <v>2.3</v>
      </c>
      <c r="H155" s="564">
        <v>60</v>
      </c>
      <c r="I155" s="553">
        <v>560</v>
      </c>
      <c r="J155" s="544">
        <v>0</v>
      </c>
      <c r="K155" s="546">
        <v>0</v>
      </c>
      <c r="L155" s="463"/>
      <c r="M155" s="550"/>
      <c r="N155" s="555"/>
      <c r="O155" s="556"/>
    </row>
    <row r="156" spans="1:15" s="550" customFormat="1" ht="13.5" customHeight="1" hidden="1">
      <c r="A156" s="502"/>
      <c r="C156" s="551"/>
      <c r="D156" s="800" t="s">
        <v>573</v>
      </c>
      <c r="E156" s="529" t="s">
        <v>501</v>
      </c>
      <c r="F156" s="530" t="s">
        <v>28</v>
      </c>
      <c r="G156" s="544">
        <v>1.6</v>
      </c>
      <c r="H156" s="552">
        <v>75</v>
      </c>
      <c r="I156" s="553">
        <v>800</v>
      </c>
      <c r="J156" s="544">
        <v>0</v>
      </c>
      <c r="K156" s="546">
        <v>0</v>
      </c>
      <c r="L156" s="554"/>
      <c r="N156" s="555"/>
      <c r="O156" s="556"/>
    </row>
    <row r="157" spans="1:15" s="167" customFormat="1" ht="13.5" customHeight="1" hidden="1">
      <c r="A157" s="536"/>
      <c r="B157" s="537"/>
      <c r="C157" s="460"/>
      <c r="D157" s="801"/>
      <c r="E157" s="529" t="s">
        <v>495</v>
      </c>
      <c r="F157" s="57" t="s">
        <v>28</v>
      </c>
      <c r="G157" s="415">
        <v>2.3</v>
      </c>
      <c r="H157" s="564">
        <v>60</v>
      </c>
      <c r="I157" s="553">
        <v>560</v>
      </c>
      <c r="J157" s="544">
        <v>0</v>
      </c>
      <c r="K157" s="546">
        <v>0</v>
      </c>
      <c r="L157" s="463"/>
      <c r="M157" s="550"/>
      <c r="N157" s="555"/>
      <c r="O157" s="556"/>
    </row>
    <row r="158" spans="1:15" s="550" customFormat="1" ht="13.5" customHeight="1" hidden="1">
      <c r="A158" s="502"/>
      <c r="C158" s="551"/>
      <c r="D158" s="800" t="s">
        <v>574</v>
      </c>
      <c r="E158" s="529" t="s">
        <v>501</v>
      </c>
      <c r="F158" s="530" t="s">
        <v>28</v>
      </c>
      <c r="G158" s="544">
        <v>1.6</v>
      </c>
      <c r="H158" s="552">
        <v>75</v>
      </c>
      <c r="I158" s="553">
        <v>800</v>
      </c>
      <c r="J158" s="544">
        <v>0</v>
      </c>
      <c r="K158" s="546">
        <v>0</v>
      </c>
      <c r="L158" s="554"/>
      <c r="N158" s="555"/>
      <c r="O158" s="556"/>
    </row>
    <row r="159" spans="1:15" s="167" customFormat="1" ht="13.5" customHeight="1" hidden="1">
      <c r="A159" s="536"/>
      <c r="B159" s="537"/>
      <c r="C159" s="460"/>
      <c r="D159" s="801"/>
      <c r="E159" s="529" t="s">
        <v>495</v>
      </c>
      <c r="F159" s="57" t="s">
        <v>28</v>
      </c>
      <c r="G159" s="415">
        <v>2.3</v>
      </c>
      <c r="H159" s="564">
        <v>60</v>
      </c>
      <c r="I159" s="553">
        <v>560</v>
      </c>
      <c r="J159" s="544">
        <v>0</v>
      </c>
      <c r="K159" s="546">
        <v>0</v>
      </c>
      <c r="L159" s="463"/>
      <c r="M159" s="550"/>
      <c r="N159" s="555"/>
      <c r="O159" s="556"/>
    </row>
    <row r="160" spans="1:15" s="550" customFormat="1" ht="13.5" customHeight="1" hidden="1">
      <c r="A160" s="502"/>
      <c r="C160" s="551"/>
      <c r="D160" s="800" t="s">
        <v>575</v>
      </c>
      <c r="E160" s="529" t="s">
        <v>501</v>
      </c>
      <c r="F160" s="530" t="s">
        <v>28</v>
      </c>
      <c r="G160" s="544">
        <v>1.6</v>
      </c>
      <c r="H160" s="552">
        <v>75</v>
      </c>
      <c r="I160" s="553">
        <v>800</v>
      </c>
      <c r="J160" s="544">
        <v>0</v>
      </c>
      <c r="K160" s="546">
        <v>0</v>
      </c>
      <c r="L160" s="554"/>
      <c r="N160" s="555"/>
      <c r="O160" s="556"/>
    </row>
    <row r="161" spans="1:15" s="167" customFormat="1" ht="13.5" customHeight="1" hidden="1">
      <c r="A161" s="536"/>
      <c r="B161" s="537"/>
      <c r="C161" s="460"/>
      <c r="D161" s="801"/>
      <c r="E161" s="566" t="s">
        <v>576</v>
      </c>
      <c r="F161" s="57" t="s">
        <v>28</v>
      </c>
      <c r="G161" s="415">
        <v>2.3</v>
      </c>
      <c r="H161" s="564">
        <v>60</v>
      </c>
      <c r="I161" s="553">
        <v>560</v>
      </c>
      <c r="J161" s="544">
        <v>0</v>
      </c>
      <c r="K161" s="546">
        <v>0</v>
      </c>
      <c r="L161" s="463"/>
      <c r="M161" s="550"/>
      <c r="N161" s="555"/>
      <c r="O161" s="556"/>
    </row>
    <row r="162" spans="1:15" s="550" customFormat="1" ht="13.5" customHeight="1" hidden="1">
      <c r="A162" s="502"/>
      <c r="C162" s="551"/>
      <c r="D162" s="800" t="s">
        <v>577</v>
      </c>
      <c r="E162" s="529" t="s">
        <v>501</v>
      </c>
      <c r="F162" s="530" t="s">
        <v>28</v>
      </c>
      <c r="G162" s="544">
        <v>1.6</v>
      </c>
      <c r="H162" s="552">
        <v>75</v>
      </c>
      <c r="I162" s="553">
        <v>800</v>
      </c>
      <c r="J162" s="544">
        <v>0</v>
      </c>
      <c r="K162" s="546">
        <v>0</v>
      </c>
      <c r="L162" s="554"/>
      <c r="N162" s="555"/>
      <c r="O162" s="556"/>
    </row>
    <row r="163" spans="1:15" s="167" customFormat="1" ht="13.5" customHeight="1" hidden="1">
      <c r="A163" s="536"/>
      <c r="B163" s="537"/>
      <c r="C163" s="460"/>
      <c r="D163" s="801"/>
      <c r="E163" s="529" t="s">
        <v>495</v>
      </c>
      <c r="F163" s="57" t="s">
        <v>28</v>
      </c>
      <c r="G163" s="415">
        <v>2.3</v>
      </c>
      <c r="H163" s="564">
        <v>60</v>
      </c>
      <c r="I163" s="553">
        <v>560</v>
      </c>
      <c r="J163" s="544">
        <v>0</v>
      </c>
      <c r="K163" s="546">
        <v>0</v>
      </c>
      <c r="L163" s="463"/>
      <c r="M163" s="550"/>
      <c r="N163" s="555"/>
      <c r="O163" s="556"/>
    </row>
    <row r="164" spans="1:15" s="550" customFormat="1" ht="13.5" customHeight="1" hidden="1">
      <c r="A164" s="502"/>
      <c r="C164" s="551"/>
      <c r="D164" s="800" t="s">
        <v>578</v>
      </c>
      <c r="E164" s="529" t="s">
        <v>501</v>
      </c>
      <c r="F164" s="530" t="s">
        <v>28</v>
      </c>
      <c r="G164" s="544">
        <v>1.6</v>
      </c>
      <c r="H164" s="552">
        <v>75</v>
      </c>
      <c r="I164" s="553">
        <v>800</v>
      </c>
      <c r="J164" s="544">
        <v>0</v>
      </c>
      <c r="K164" s="546">
        <v>0</v>
      </c>
      <c r="L164" s="554"/>
      <c r="N164" s="555"/>
      <c r="O164" s="556"/>
    </row>
    <row r="165" spans="1:15" s="167" customFormat="1" ht="13.5" customHeight="1" hidden="1">
      <c r="A165" s="536"/>
      <c r="B165" s="537"/>
      <c r="C165" s="460"/>
      <c r="D165" s="801"/>
      <c r="E165" s="529" t="s">
        <v>495</v>
      </c>
      <c r="F165" s="57" t="s">
        <v>28</v>
      </c>
      <c r="G165" s="415">
        <v>2.3</v>
      </c>
      <c r="H165" s="564">
        <v>60</v>
      </c>
      <c r="I165" s="553">
        <v>560</v>
      </c>
      <c r="J165" s="544">
        <v>0</v>
      </c>
      <c r="K165" s="546">
        <v>0</v>
      </c>
      <c r="L165" s="463"/>
      <c r="M165" s="550"/>
      <c r="N165" s="555"/>
      <c r="O165" s="556"/>
    </row>
    <row r="166" spans="1:15" s="167" customFormat="1" ht="25.5" hidden="1">
      <c r="A166" s="536"/>
      <c r="B166" s="537"/>
      <c r="C166" s="460"/>
      <c r="D166" s="567" t="s">
        <v>579</v>
      </c>
      <c r="E166" s="529" t="s">
        <v>495</v>
      </c>
      <c r="F166" s="57" t="s">
        <v>28</v>
      </c>
      <c r="G166" s="415">
        <v>2.3</v>
      </c>
      <c r="H166" s="564">
        <v>60</v>
      </c>
      <c r="I166" s="553">
        <v>560</v>
      </c>
      <c r="J166" s="544">
        <v>0</v>
      </c>
      <c r="K166" s="546">
        <v>0</v>
      </c>
      <c r="L166" s="463"/>
      <c r="M166" s="550"/>
      <c r="N166" s="555"/>
      <c r="O166" s="556"/>
    </row>
    <row r="167" spans="1:15" s="167" customFormat="1" ht="25.5" hidden="1">
      <c r="A167" s="536"/>
      <c r="B167" s="537"/>
      <c r="C167" s="460"/>
      <c r="D167" s="567" t="s">
        <v>580</v>
      </c>
      <c r="E167" s="529" t="s">
        <v>495</v>
      </c>
      <c r="F167" s="57" t="s">
        <v>28</v>
      </c>
      <c r="G167" s="415">
        <v>2.3</v>
      </c>
      <c r="H167" s="564">
        <v>60</v>
      </c>
      <c r="I167" s="553">
        <v>560</v>
      </c>
      <c r="J167" s="544">
        <v>0</v>
      </c>
      <c r="K167" s="546">
        <v>0</v>
      </c>
      <c r="L167" s="463"/>
      <c r="M167" s="550"/>
      <c r="N167" s="555"/>
      <c r="O167" s="556"/>
    </row>
    <row r="168" spans="1:15" s="550" customFormat="1" ht="13.5" customHeight="1" hidden="1">
      <c r="A168" s="502"/>
      <c r="C168" s="551"/>
      <c r="D168" s="800" t="s">
        <v>581</v>
      </c>
      <c r="E168" s="529" t="s">
        <v>501</v>
      </c>
      <c r="F168" s="530" t="s">
        <v>28</v>
      </c>
      <c r="G168" s="544">
        <v>1.6</v>
      </c>
      <c r="H168" s="552">
        <v>75</v>
      </c>
      <c r="I168" s="553">
        <v>800</v>
      </c>
      <c r="J168" s="544">
        <v>0</v>
      </c>
      <c r="K168" s="546">
        <v>0</v>
      </c>
      <c r="L168" s="554"/>
      <c r="N168" s="555"/>
      <c r="O168" s="556"/>
    </row>
    <row r="169" spans="1:15" s="167" customFormat="1" ht="13.5" customHeight="1" hidden="1">
      <c r="A169" s="536"/>
      <c r="B169" s="537"/>
      <c r="C169" s="460"/>
      <c r="D169" s="801"/>
      <c r="E169" s="529" t="s">
        <v>495</v>
      </c>
      <c r="F169" s="57" t="s">
        <v>28</v>
      </c>
      <c r="G169" s="415">
        <v>2.3</v>
      </c>
      <c r="H169" s="564">
        <v>60</v>
      </c>
      <c r="I169" s="553">
        <v>560</v>
      </c>
      <c r="J169" s="544">
        <v>0</v>
      </c>
      <c r="K169" s="546">
        <v>0</v>
      </c>
      <c r="L169" s="463"/>
      <c r="M169" s="550"/>
      <c r="N169" s="555"/>
      <c r="O169" s="556"/>
    </row>
    <row r="170" spans="1:15" s="550" customFormat="1" ht="13.5" customHeight="1" hidden="1">
      <c r="A170" s="502"/>
      <c r="C170" s="551"/>
      <c r="D170" s="800" t="s">
        <v>582</v>
      </c>
      <c r="E170" s="529" t="s">
        <v>501</v>
      </c>
      <c r="F170" s="530" t="s">
        <v>28</v>
      </c>
      <c r="G170" s="544">
        <v>1.6</v>
      </c>
      <c r="H170" s="552">
        <v>75</v>
      </c>
      <c r="I170" s="553">
        <v>800</v>
      </c>
      <c r="J170" s="544">
        <v>0</v>
      </c>
      <c r="K170" s="546">
        <v>0</v>
      </c>
      <c r="L170" s="554"/>
      <c r="N170" s="555"/>
      <c r="O170" s="556"/>
    </row>
    <row r="171" spans="1:15" s="167" customFormat="1" ht="13.5" customHeight="1" hidden="1">
      <c r="A171" s="536"/>
      <c r="B171" s="537"/>
      <c r="C171" s="460"/>
      <c r="D171" s="801"/>
      <c r="E171" s="529" t="s">
        <v>495</v>
      </c>
      <c r="F171" s="57" t="s">
        <v>28</v>
      </c>
      <c r="G171" s="415">
        <v>2.3</v>
      </c>
      <c r="H171" s="564">
        <v>60</v>
      </c>
      <c r="I171" s="553">
        <v>560</v>
      </c>
      <c r="J171" s="544">
        <v>0</v>
      </c>
      <c r="K171" s="546">
        <v>0</v>
      </c>
      <c r="L171" s="463"/>
      <c r="M171" s="550"/>
      <c r="N171" s="555"/>
      <c r="O171" s="556"/>
    </row>
    <row r="172" spans="1:15" s="550" customFormat="1" ht="13.5" customHeight="1" hidden="1">
      <c r="A172" s="502"/>
      <c r="C172" s="551"/>
      <c r="D172" s="800" t="s">
        <v>583</v>
      </c>
      <c r="E172" s="529" t="s">
        <v>501</v>
      </c>
      <c r="F172" s="530" t="s">
        <v>28</v>
      </c>
      <c r="G172" s="544">
        <v>1.6</v>
      </c>
      <c r="H172" s="552">
        <v>75</v>
      </c>
      <c r="I172" s="553">
        <v>800</v>
      </c>
      <c r="J172" s="544">
        <v>0</v>
      </c>
      <c r="K172" s="546">
        <v>0</v>
      </c>
      <c r="L172" s="554"/>
      <c r="N172" s="555"/>
      <c r="O172" s="556"/>
    </row>
    <row r="173" spans="1:15" s="167" customFormat="1" ht="13.5" customHeight="1" hidden="1">
      <c r="A173" s="536"/>
      <c r="B173" s="537"/>
      <c r="C173" s="460"/>
      <c r="D173" s="801"/>
      <c r="E173" s="529" t="s">
        <v>495</v>
      </c>
      <c r="F173" s="57" t="s">
        <v>28</v>
      </c>
      <c r="G173" s="415">
        <v>2.3</v>
      </c>
      <c r="H173" s="564">
        <v>60</v>
      </c>
      <c r="I173" s="553">
        <v>560</v>
      </c>
      <c r="J173" s="544">
        <v>0</v>
      </c>
      <c r="K173" s="546">
        <v>0</v>
      </c>
      <c r="L173" s="463"/>
      <c r="M173" s="550"/>
      <c r="N173" s="555"/>
      <c r="O173" s="556"/>
    </row>
    <row r="174" spans="1:15" s="550" customFormat="1" ht="13.5" customHeight="1" hidden="1">
      <c r="A174" s="502"/>
      <c r="C174" s="551"/>
      <c r="D174" s="800" t="s">
        <v>584</v>
      </c>
      <c r="E174" s="529" t="s">
        <v>501</v>
      </c>
      <c r="F174" s="530" t="s">
        <v>28</v>
      </c>
      <c r="G174" s="544">
        <v>1.6</v>
      </c>
      <c r="H174" s="552">
        <v>75</v>
      </c>
      <c r="I174" s="553">
        <v>800</v>
      </c>
      <c r="J174" s="544">
        <v>0</v>
      </c>
      <c r="K174" s="546">
        <v>0</v>
      </c>
      <c r="L174" s="554"/>
      <c r="N174" s="555"/>
      <c r="O174" s="556"/>
    </row>
    <row r="175" spans="1:15" s="167" customFormat="1" ht="13.5" customHeight="1" hidden="1">
      <c r="A175" s="536"/>
      <c r="B175" s="537"/>
      <c r="C175" s="460"/>
      <c r="D175" s="801"/>
      <c r="E175" s="529" t="s">
        <v>495</v>
      </c>
      <c r="F175" s="57" t="s">
        <v>28</v>
      </c>
      <c r="G175" s="415">
        <v>2.3</v>
      </c>
      <c r="H175" s="564">
        <v>60</v>
      </c>
      <c r="I175" s="553">
        <v>560</v>
      </c>
      <c r="J175" s="544">
        <v>0</v>
      </c>
      <c r="K175" s="546">
        <v>0</v>
      </c>
      <c r="L175" s="463"/>
      <c r="M175" s="550"/>
      <c r="N175" s="555"/>
      <c r="O175" s="556"/>
    </row>
    <row r="176" spans="1:15" s="550" customFormat="1" ht="13.5" customHeight="1" hidden="1">
      <c r="A176" s="502"/>
      <c r="C176" s="551"/>
      <c r="D176" s="800" t="s">
        <v>585</v>
      </c>
      <c r="E176" s="529" t="s">
        <v>501</v>
      </c>
      <c r="F176" s="530" t="s">
        <v>28</v>
      </c>
      <c r="G176" s="544">
        <v>1.6</v>
      </c>
      <c r="H176" s="552">
        <v>75</v>
      </c>
      <c r="I176" s="553">
        <v>800</v>
      </c>
      <c r="J176" s="544">
        <v>0</v>
      </c>
      <c r="K176" s="546">
        <v>0</v>
      </c>
      <c r="L176" s="554"/>
      <c r="N176" s="555"/>
      <c r="O176" s="556"/>
    </row>
    <row r="177" spans="1:15" s="167" customFormat="1" ht="13.5" customHeight="1" hidden="1">
      <c r="A177" s="536"/>
      <c r="B177" s="537"/>
      <c r="C177" s="460"/>
      <c r="D177" s="801"/>
      <c r="E177" s="529" t="s">
        <v>495</v>
      </c>
      <c r="F177" s="57" t="s">
        <v>28</v>
      </c>
      <c r="G177" s="415">
        <v>2.3</v>
      </c>
      <c r="H177" s="564">
        <v>60</v>
      </c>
      <c r="I177" s="553">
        <v>560</v>
      </c>
      <c r="J177" s="544">
        <v>0</v>
      </c>
      <c r="K177" s="546">
        <v>0</v>
      </c>
      <c r="L177" s="463"/>
      <c r="M177" s="550"/>
      <c r="N177" s="555"/>
      <c r="O177" s="556"/>
    </row>
    <row r="178" spans="1:15" s="550" customFormat="1" ht="13.5" customHeight="1" hidden="1">
      <c r="A178" s="502"/>
      <c r="C178" s="551"/>
      <c r="D178" s="800" t="s">
        <v>586</v>
      </c>
      <c r="E178" s="529" t="s">
        <v>501</v>
      </c>
      <c r="F178" s="530" t="s">
        <v>28</v>
      </c>
      <c r="G178" s="544">
        <v>1.6</v>
      </c>
      <c r="H178" s="552">
        <v>75</v>
      </c>
      <c r="I178" s="553">
        <v>800</v>
      </c>
      <c r="J178" s="544">
        <v>0</v>
      </c>
      <c r="K178" s="546">
        <v>0</v>
      </c>
      <c r="L178" s="554"/>
      <c r="N178" s="555"/>
      <c r="O178" s="556"/>
    </row>
    <row r="179" spans="1:15" s="167" customFormat="1" ht="13.5" customHeight="1" hidden="1">
      <c r="A179" s="536"/>
      <c r="B179" s="537"/>
      <c r="C179" s="460"/>
      <c r="D179" s="801"/>
      <c r="E179" s="529" t="s">
        <v>495</v>
      </c>
      <c r="F179" s="57" t="s">
        <v>28</v>
      </c>
      <c r="G179" s="415">
        <v>2.3</v>
      </c>
      <c r="H179" s="564">
        <v>60</v>
      </c>
      <c r="I179" s="553">
        <v>560</v>
      </c>
      <c r="J179" s="544">
        <v>0</v>
      </c>
      <c r="K179" s="546">
        <v>0</v>
      </c>
      <c r="L179" s="463"/>
      <c r="M179" s="550"/>
      <c r="N179" s="555"/>
      <c r="O179" s="556"/>
    </row>
    <row r="180" spans="1:15" s="550" customFormat="1" ht="13.5" customHeight="1" hidden="1">
      <c r="A180" s="502"/>
      <c r="C180" s="551"/>
      <c r="D180" s="800" t="s">
        <v>587</v>
      </c>
      <c r="E180" s="529" t="s">
        <v>501</v>
      </c>
      <c r="F180" s="530" t="s">
        <v>28</v>
      </c>
      <c r="G180" s="544">
        <v>1.6</v>
      </c>
      <c r="H180" s="552">
        <v>75</v>
      </c>
      <c r="I180" s="553">
        <v>800</v>
      </c>
      <c r="J180" s="544">
        <v>0</v>
      </c>
      <c r="K180" s="546">
        <v>0</v>
      </c>
      <c r="L180" s="554"/>
      <c r="N180" s="555"/>
      <c r="O180" s="556"/>
    </row>
    <row r="181" spans="1:15" s="167" customFormat="1" ht="13.5" customHeight="1" hidden="1">
      <c r="A181" s="536"/>
      <c r="B181" s="537"/>
      <c r="C181" s="460"/>
      <c r="D181" s="801"/>
      <c r="E181" s="529" t="s">
        <v>495</v>
      </c>
      <c r="F181" s="57" t="s">
        <v>28</v>
      </c>
      <c r="G181" s="415">
        <v>2.3</v>
      </c>
      <c r="H181" s="564">
        <v>60</v>
      </c>
      <c r="I181" s="553">
        <v>560</v>
      </c>
      <c r="J181" s="544">
        <v>0</v>
      </c>
      <c r="K181" s="546">
        <v>0</v>
      </c>
      <c r="L181" s="463"/>
      <c r="M181" s="550"/>
      <c r="N181" s="555"/>
      <c r="O181" s="556"/>
    </row>
    <row r="182" spans="1:15" s="550" customFormat="1" ht="13.5" customHeight="1" hidden="1">
      <c r="A182" s="502"/>
      <c r="C182" s="551"/>
      <c r="D182" s="800" t="s">
        <v>588</v>
      </c>
      <c r="E182" s="529" t="s">
        <v>501</v>
      </c>
      <c r="F182" s="530" t="s">
        <v>28</v>
      </c>
      <c r="G182" s="544">
        <v>1.6</v>
      </c>
      <c r="H182" s="552">
        <v>75</v>
      </c>
      <c r="I182" s="553">
        <v>800</v>
      </c>
      <c r="J182" s="544">
        <v>0</v>
      </c>
      <c r="K182" s="546">
        <v>0</v>
      </c>
      <c r="L182" s="554"/>
      <c r="N182" s="555"/>
      <c r="O182" s="556"/>
    </row>
    <row r="183" spans="1:15" s="167" customFormat="1" ht="13.5" customHeight="1" hidden="1">
      <c r="A183" s="536"/>
      <c r="B183" s="537"/>
      <c r="C183" s="460"/>
      <c r="D183" s="801"/>
      <c r="E183" s="529" t="s">
        <v>495</v>
      </c>
      <c r="F183" s="57" t="s">
        <v>28</v>
      </c>
      <c r="G183" s="415">
        <v>2.3</v>
      </c>
      <c r="H183" s="564">
        <v>60</v>
      </c>
      <c r="I183" s="553">
        <v>560</v>
      </c>
      <c r="J183" s="544">
        <v>0</v>
      </c>
      <c r="K183" s="546">
        <v>0</v>
      </c>
      <c r="L183" s="463"/>
      <c r="M183" s="550"/>
      <c r="N183" s="555"/>
      <c r="O183" s="556"/>
    </row>
    <row r="184" spans="1:15" s="550" customFormat="1" ht="13.5" customHeight="1" hidden="1">
      <c r="A184" s="502"/>
      <c r="C184" s="551"/>
      <c r="D184" s="800" t="s">
        <v>589</v>
      </c>
      <c r="E184" s="529" t="s">
        <v>501</v>
      </c>
      <c r="F184" s="530" t="s">
        <v>28</v>
      </c>
      <c r="G184" s="544">
        <v>1.6</v>
      </c>
      <c r="H184" s="552">
        <v>75</v>
      </c>
      <c r="I184" s="553">
        <v>800</v>
      </c>
      <c r="J184" s="544">
        <v>0</v>
      </c>
      <c r="K184" s="546">
        <v>0</v>
      </c>
      <c r="L184" s="554"/>
      <c r="N184" s="555"/>
      <c r="O184" s="556"/>
    </row>
    <row r="185" spans="1:15" s="167" customFormat="1" ht="13.5" customHeight="1" hidden="1">
      <c r="A185" s="536"/>
      <c r="B185" s="537"/>
      <c r="C185" s="460"/>
      <c r="D185" s="801"/>
      <c r="E185" s="529" t="s">
        <v>495</v>
      </c>
      <c r="F185" s="57" t="s">
        <v>28</v>
      </c>
      <c r="G185" s="415">
        <v>2.3</v>
      </c>
      <c r="H185" s="564">
        <v>60</v>
      </c>
      <c r="I185" s="553">
        <v>560</v>
      </c>
      <c r="J185" s="544">
        <v>0</v>
      </c>
      <c r="K185" s="546">
        <v>0</v>
      </c>
      <c r="L185" s="463"/>
      <c r="M185" s="550"/>
      <c r="N185" s="555"/>
      <c r="O185" s="556"/>
    </row>
    <row r="186" spans="1:15" s="537" customFormat="1" ht="18" customHeight="1" hidden="1">
      <c r="A186" s="536"/>
      <c r="C186" s="538"/>
      <c r="D186" s="549" t="s">
        <v>484</v>
      </c>
      <c r="E186" s="539"/>
      <c r="F186" s="539"/>
      <c r="G186" s="539"/>
      <c r="H186" s="539"/>
      <c r="I186" s="539"/>
      <c r="J186" s="539"/>
      <c r="K186" s="539"/>
      <c r="L186" s="541"/>
      <c r="N186" s="542"/>
      <c r="O186" s="543"/>
    </row>
    <row r="187" spans="1:15" s="537" customFormat="1" ht="15" customHeight="1" hidden="1">
      <c r="A187" s="536"/>
      <c r="C187" s="538"/>
      <c r="D187" s="794" t="s">
        <v>590</v>
      </c>
      <c r="E187" s="529" t="s">
        <v>501</v>
      </c>
      <c r="F187" s="530" t="s">
        <v>28</v>
      </c>
      <c r="G187" s="544">
        <v>1.7</v>
      </c>
      <c r="H187" s="552">
        <v>75</v>
      </c>
      <c r="I187" s="553">
        <v>800</v>
      </c>
      <c r="J187" s="544">
        <v>0</v>
      </c>
      <c r="K187" s="546">
        <v>0</v>
      </c>
      <c r="L187" s="541"/>
      <c r="N187" s="542"/>
      <c r="O187" s="543"/>
    </row>
    <row r="188" spans="1:15" s="550" customFormat="1" ht="13.5" customHeight="1" hidden="1">
      <c r="A188" s="502"/>
      <c r="C188" s="551"/>
      <c r="D188" s="795"/>
      <c r="E188" s="529" t="s">
        <v>495</v>
      </c>
      <c r="F188" s="530" t="s">
        <v>28</v>
      </c>
      <c r="G188" s="531">
        <v>2.3</v>
      </c>
      <c r="H188" s="557">
        <v>60</v>
      </c>
      <c r="I188" s="553">
        <v>560</v>
      </c>
      <c r="J188" s="544">
        <v>0</v>
      </c>
      <c r="K188" s="546">
        <v>0</v>
      </c>
      <c r="L188" s="554"/>
      <c r="N188" s="555"/>
      <c r="O188" s="556"/>
    </row>
    <row r="189" spans="1:15" s="537" customFormat="1" ht="15" customHeight="1" hidden="1">
      <c r="A189" s="536"/>
      <c r="C189" s="538"/>
      <c r="D189" s="794" t="s">
        <v>591</v>
      </c>
      <c r="E189" s="529" t="s">
        <v>501</v>
      </c>
      <c r="F189" s="530" t="s">
        <v>28</v>
      </c>
      <c r="G189" s="544">
        <v>1.7</v>
      </c>
      <c r="H189" s="552">
        <v>75</v>
      </c>
      <c r="I189" s="553">
        <v>800</v>
      </c>
      <c r="J189" s="544">
        <v>0</v>
      </c>
      <c r="K189" s="546">
        <v>0</v>
      </c>
      <c r="L189" s="541"/>
      <c r="N189" s="542"/>
      <c r="O189" s="543"/>
    </row>
    <row r="190" spans="1:15" s="550" customFormat="1" ht="13.5" customHeight="1" hidden="1">
      <c r="A190" s="502"/>
      <c r="C190" s="551"/>
      <c r="D190" s="795"/>
      <c r="E190" s="529" t="s">
        <v>495</v>
      </c>
      <c r="F190" s="530" t="s">
        <v>28</v>
      </c>
      <c r="G190" s="531">
        <v>2.3</v>
      </c>
      <c r="H190" s="557">
        <v>60</v>
      </c>
      <c r="I190" s="553">
        <v>560</v>
      </c>
      <c r="J190" s="544">
        <v>0</v>
      </c>
      <c r="K190" s="546">
        <v>0</v>
      </c>
      <c r="L190" s="554"/>
      <c r="N190" s="555"/>
      <c r="O190" s="556"/>
    </row>
    <row r="191" spans="1:15" s="537" customFormat="1" ht="15" customHeight="1" hidden="1">
      <c r="A191" s="536"/>
      <c r="C191" s="538"/>
      <c r="D191" s="794" t="s">
        <v>592</v>
      </c>
      <c r="E191" s="529" t="s">
        <v>501</v>
      </c>
      <c r="F191" s="530" t="s">
        <v>28</v>
      </c>
      <c r="G191" s="544">
        <v>1.7</v>
      </c>
      <c r="H191" s="552">
        <v>75</v>
      </c>
      <c r="I191" s="553">
        <v>800</v>
      </c>
      <c r="J191" s="544">
        <v>0</v>
      </c>
      <c r="K191" s="546">
        <v>0</v>
      </c>
      <c r="L191" s="541"/>
      <c r="N191" s="542"/>
      <c r="O191" s="543"/>
    </row>
    <row r="192" spans="1:15" s="550" customFormat="1" ht="13.5" customHeight="1" hidden="1">
      <c r="A192" s="502"/>
      <c r="C192" s="551"/>
      <c r="D192" s="795"/>
      <c r="E192" s="529" t="s">
        <v>495</v>
      </c>
      <c r="F192" s="530" t="s">
        <v>28</v>
      </c>
      <c r="G192" s="531">
        <v>2.3</v>
      </c>
      <c r="H192" s="557">
        <v>60</v>
      </c>
      <c r="I192" s="553">
        <v>560</v>
      </c>
      <c r="J192" s="544">
        <v>0</v>
      </c>
      <c r="K192" s="546">
        <v>0</v>
      </c>
      <c r="L192" s="554"/>
      <c r="N192" s="555"/>
      <c r="O192" s="556"/>
    </row>
    <row r="193" spans="1:15" s="537" customFormat="1" ht="15" customHeight="1" hidden="1">
      <c r="A193" s="536"/>
      <c r="C193" s="538"/>
      <c r="D193" s="794" t="s">
        <v>593</v>
      </c>
      <c r="E193" s="529" t="s">
        <v>501</v>
      </c>
      <c r="F193" s="530" t="s">
        <v>28</v>
      </c>
      <c r="G193" s="544">
        <v>1.7</v>
      </c>
      <c r="H193" s="552">
        <v>75</v>
      </c>
      <c r="I193" s="553">
        <v>800</v>
      </c>
      <c r="J193" s="544">
        <v>0</v>
      </c>
      <c r="K193" s="546">
        <v>0</v>
      </c>
      <c r="L193" s="541"/>
      <c r="N193" s="542"/>
      <c r="O193" s="543"/>
    </row>
    <row r="194" spans="1:15" s="550" customFormat="1" ht="13.5" customHeight="1" hidden="1">
      <c r="A194" s="502"/>
      <c r="C194" s="551"/>
      <c r="D194" s="795"/>
      <c r="E194" s="529" t="s">
        <v>495</v>
      </c>
      <c r="F194" s="530" t="s">
        <v>28</v>
      </c>
      <c r="G194" s="531">
        <v>2.3</v>
      </c>
      <c r="H194" s="557">
        <v>60</v>
      </c>
      <c r="I194" s="553">
        <v>560</v>
      </c>
      <c r="J194" s="544">
        <v>0</v>
      </c>
      <c r="K194" s="546">
        <v>0</v>
      </c>
      <c r="L194" s="554"/>
      <c r="N194" s="555"/>
      <c r="O194" s="556"/>
    </row>
    <row r="195" spans="1:15" s="569" customFormat="1" ht="5.25" customHeight="1" thickBot="1">
      <c r="A195" s="568"/>
      <c r="C195" s="570"/>
      <c r="D195" s="571"/>
      <c r="E195" s="572"/>
      <c r="F195" s="573"/>
      <c r="G195" s="574"/>
      <c r="H195" s="573"/>
      <c r="I195" s="573"/>
      <c r="J195" s="575"/>
      <c r="K195" s="576"/>
      <c r="L195" s="577"/>
      <c r="N195" s="484"/>
      <c r="O195" s="485"/>
    </row>
    <row r="196" spans="1:15" s="569" customFormat="1" ht="18" customHeight="1" thickTop="1">
      <c r="A196" s="568"/>
      <c r="C196" s="578" t="s">
        <v>176</v>
      </c>
      <c r="D196" s="579"/>
      <c r="E196" s="580"/>
      <c r="F196" s="581"/>
      <c r="G196" s="582"/>
      <c r="H196" s="581"/>
      <c r="I196" s="581"/>
      <c r="J196" s="583"/>
      <c r="K196" s="583"/>
      <c r="L196" s="583"/>
      <c r="N196" s="484"/>
      <c r="O196" s="485"/>
    </row>
    <row r="197" spans="1:15" s="585" customFormat="1" ht="15.75" customHeight="1">
      <c r="A197" s="584"/>
      <c r="C197" s="802" t="s">
        <v>178</v>
      </c>
      <c r="D197" s="802"/>
      <c r="E197" s="802"/>
      <c r="F197" s="802"/>
      <c r="G197" s="802"/>
      <c r="H197" s="802"/>
      <c r="I197" s="802"/>
      <c r="J197" s="802"/>
      <c r="K197" s="802"/>
      <c r="L197" s="802"/>
      <c r="N197" s="586"/>
      <c r="O197" s="587"/>
    </row>
    <row r="198" spans="1:15" s="585" customFormat="1" ht="16.5" customHeight="1">
      <c r="A198" s="584"/>
      <c r="C198" s="803"/>
      <c r="D198" s="803"/>
      <c r="E198" s="803"/>
      <c r="F198" s="803"/>
      <c r="G198" s="803"/>
      <c r="H198" s="803"/>
      <c r="I198" s="803"/>
      <c r="J198" s="803"/>
      <c r="K198" s="803"/>
      <c r="L198" s="588"/>
      <c r="N198" s="586"/>
      <c r="O198" s="587"/>
    </row>
    <row r="199" spans="1:15" s="569" customFormat="1" ht="10.5" customHeight="1">
      <c r="A199" s="568"/>
      <c r="C199" s="803"/>
      <c r="D199" s="803"/>
      <c r="E199" s="803"/>
      <c r="F199" s="803"/>
      <c r="G199" s="803"/>
      <c r="H199" s="803"/>
      <c r="I199" s="803"/>
      <c r="J199" s="803"/>
      <c r="K199" s="803"/>
      <c r="L199" s="583"/>
      <c r="N199" s="484"/>
      <c r="O199" s="485"/>
    </row>
    <row r="200" spans="1:17" s="134" customFormat="1" ht="23.25" customHeight="1">
      <c r="A200" s="133"/>
      <c r="C200" s="695" t="s">
        <v>179</v>
      </c>
      <c r="D200" s="695"/>
      <c r="E200" s="695"/>
      <c r="F200" s="695"/>
      <c r="G200" s="695"/>
      <c r="H200" s="695"/>
      <c r="I200" s="695"/>
      <c r="J200" s="695"/>
      <c r="K200" s="695"/>
      <c r="L200" s="695"/>
      <c r="M200" s="695"/>
      <c r="N200" s="484"/>
      <c r="O200" s="485"/>
      <c r="P200" s="448"/>
      <c r="Q200" s="135"/>
    </row>
    <row r="201" spans="1:17" s="9" customFormat="1" ht="15" customHeight="1" thickBot="1">
      <c r="A201" s="1"/>
      <c r="C201" s="136"/>
      <c r="D201" s="137"/>
      <c r="E201" s="138"/>
      <c r="G201" s="139"/>
      <c r="H201" s="139"/>
      <c r="I201" s="139"/>
      <c r="J201" s="139"/>
      <c r="K201" s="139"/>
      <c r="L201" s="18" t="s">
        <v>2</v>
      </c>
      <c r="M201" s="140"/>
      <c r="N201" s="484"/>
      <c r="O201" s="485"/>
      <c r="P201" s="11"/>
      <c r="Q201" s="2"/>
    </row>
    <row r="202" spans="1:17" s="9" customFormat="1" ht="7.5" customHeight="1" thickTop="1">
      <c r="A202" s="1"/>
      <c r="C202" s="19"/>
      <c r="D202" s="141"/>
      <c r="E202" s="142"/>
      <c r="F202" s="23"/>
      <c r="G202" s="23"/>
      <c r="H202" s="23"/>
      <c r="I202" s="23"/>
      <c r="J202" s="23"/>
      <c r="K202" s="23"/>
      <c r="L202" s="27"/>
      <c r="M202" s="486"/>
      <c r="N202" s="484"/>
      <c r="O202" s="485"/>
      <c r="P202" s="11"/>
      <c r="Q202" s="2"/>
    </row>
    <row r="203" spans="1:17" s="50" customFormat="1" ht="29.25" customHeight="1" thickBot="1">
      <c r="A203" s="49"/>
      <c r="B203" s="52"/>
      <c r="C203" s="143"/>
      <c r="D203" s="696" t="s">
        <v>180</v>
      </c>
      <c r="E203" s="696"/>
      <c r="F203" s="696"/>
      <c r="G203" s="697"/>
      <c r="H203" s="698" t="s">
        <v>181</v>
      </c>
      <c r="I203" s="697"/>
      <c r="J203" s="698" t="s">
        <v>182</v>
      </c>
      <c r="K203" s="696"/>
      <c r="L203" s="144"/>
      <c r="M203" s="260"/>
      <c r="N203" s="484"/>
      <c r="O203" s="485"/>
      <c r="P203" s="53"/>
      <c r="Q203" s="54"/>
    </row>
    <row r="204" spans="1:17" s="50" customFormat="1" ht="15" customHeight="1" thickTop="1">
      <c r="A204" s="49"/>
      <c r="C204" s="143"/>
      <c r="D204" s="699" t="s">
        <v>276</v>
      </c>
      <c r="E204" s="699"/>
      <c r="F204" s="699"/>
      <c r="G204" s="700"/>
      <c r="H204" s="701" t="s">
        <v>184</v>
      </c>
      <c r="I204" s="702"/>
      <c r="J204" s="703">
        <v>588</v>
      </c>
      <c r="K204" s="704"/>
      <c r="L204" s="145"/>
      <c r="M204" s="261"/>
      <c r="N204" s="484"/>
      <c r="O204" s="485"/>
      <c r="P204" s="53"/>
      <c r="Q204" s="54"/>
    </row>
    <row r="205" spans="1:17" s="50" customFormat="1" ht="15" customHeight="1">
      <c r="A205" s="49"/>
      <c r="C205" s="143"/>
      <c r="D205" s="705" t="s">
        <v>185</v>
      </c>
      <c r="E205" s="705"/>
      <c r="F205" s="705"/>
      <c r="G205" s="706"/>
      <c r="H205" s="707" t="s">
        <v>186</v>
      </c>
      <c r="I205" s="708"/>
      <c r="J205" s="709">
        <v>1830</v>
      </c>
      <c r="K205" s="710"/>
      <c r="L205" s="145"/>
      <c r="M205" s="261"/>
      <c r="N205" s="484"/>
      <c r="O205" s="485"/>
      <c r="P205" s="53"/>
      <c r="Q205" s="54"/>
    </row>
    <row r="206" spans="1:17" s="50" customFormat="1" ht="15" customHeight="1">
      <c r="A206" s="49"/>
      <c r="C206" s="143"/>
      <c r="D206" s="705" t="s">
        <v>187</v>
      </c>
      <c r="E206" s="705"/>
      <c r="F206" s="705"/>
      <c r="G206" s="706"/>
      <c r="H206" s="707" t="s">
        <v>188</v>
      </c>
      <c r="I206" s="708"/>
      <c r="J206" s="709">
        <v>18.48</v>
      </c>
      <c r="K206" s="710"/>
      <c r="L206" s="145"/>
      <c r="M206" s="261"/>
      <c r="N206" s="484"/>
      <c r="O206" s="485"/>
      <c r="P206" s="53"/>
      <c r="Q206" s="54"/>
    </row>
    <row r="207" spans="1:17" s="50" customFormat="1" ht="15" customHeight="1">
      <c r="A207" s="49"/>
      <c r="C207" s="143"/>
      <c r="D207" s="705" t="s">
        <v>189</v>
      </c>
      <c r="E207" s="705"/>
      <c r="F207" s="705"/>
      <c r="G207" s="706"/>
      <c r="H207" s="712" t="s">
        <v>190</v>
      </c>
      <c r="I207" s="713"/>
      <c r="J207" s="709">
        <v>76.5</v>
      </c>
      <c r="K207" s="710"/>
      <c r="L207" s="145"/>
      <c r="M207" s="261"/>
      <c r="N207" s="484"/>
      <c r="O207" s="485"/>
      <c r="P207" s="53"/>
      <c r="Q207" s="54"/>
    </row>
    <row r="208" spans="1:17" s="50" customFormat="1" ht="15" customHeight="1">
      <c r="A208" s="49"/>
      <c r="C208" s="143"/>
      <c r="D208" s="714" t="s">
        <v>191</v>
      </c>
      <c r="E208" s="714"/>
      <c r="F208" s="714"/>
      <c r="G208" s="715"/>
      <c r="H208" s="716" t="s">
        <v>192</v>
      </c>
      <c r="I208" s="717"/>
      <c r="J208" s="709">
        <v>770.1</v>
      </c>
      <c r="K208" s="710"/>
      <c r="L208" s="145"/>
      <c r="M208" s="261"/>
      <c r="N208" s="484"/>
      <c r="O208" s="485"/>
      <c r="P208" s="53"/>
      <c r="Q208" s="54"/>
    </row>
    <row r="209" spans="1:17" s="50" customFormat="1" ht="5.25" customHeight="1" thickBot="1">
      <c r="A209" s="49"/>
      <c r="C209" s="110"/>
      <c r="D209" s="146"/>
      <c r="E209" s="147"/>
      <c r="F209" s="148"/>
      <c r="G209" s="148"/>
      <c r="H209" s="149"/>
      <c r="I209" s="148"/>
      <c r="J209" s="148"/>
      <c r="K209" s="148"/>
      <c r="L209" s="118"/>
      <c r="M209" s="119"/>
      <c r="N209" s="484"/>
      <c r="O209" s="485"/>
      <c r="P209" s="53"/>
      <c r="Q209" s="54"/>
    </row>
    <row r="210" spans="1:15" s="569" customFormat="1" ht="15.75" customHeight="1" hidden="1" thickTop="1">
      <c r="A210" s="568"/>
      <c r="C210" s="589" t="s">
        <v>193</v>
      </c>
      <c r="D210" s="590"/>
      <c r="E210" s="591"/>
      <c r="F210" s="592"/>
      <c r="G210" s="593"/>
      <c r="H210" s="592"/>
      <c r="I210" s="592"/>
      <c r="J210" s="592"/>
      <c r="K210" s="592"/>
      <c r="N210" s="484"/>
      <c r="O210" s="485"/>
    </row>
    <row r="211" spans="1:15" s="569" customFormat="1" ht="12" customHeight="1" hidden="1">
      <c r="A211" s="568"/>
      <c r="C211" s="594" t="s">
        <v>194</v>
      </c>
      <c r="D211" s="595"/>
      <c r="E211" s="596"/>
      <c r="F211" s="597"/>
      <c r="G211" s="598"/>
      <c r="H211" s="597"/>
      <c r="I211" s="597"/>
      <c r="J211" s="599"/>
      <c r="K211" s="599"/>
      <c r="M211" s="600"/>
      <c r="N211" s="601"/>
      <c r="O211" s="485"/>
    </row>
    <row r="212" spans="1:15" s="569" customFormat="1" ht="12" customHeight="1" hidden="1">
      <c r="A212" s="568"/>
      <c r="C212" s="594" t="s">
        <v>195</v>
      </c>
      <c r="D212" s="602"/>
      <c r="E212" s="603"/>
      <c r="F212" s="604"/>
      <c r="G212" s="605"/>
      <c r="H212" s="604"/>
      <c r="I212" s="604"/>
      <c r="J212" s="604"/>
      <c r="K212" s="604"/>
      <c r="M212" s="600"/>
      <c r="N212" s="601"/>
      <c r="O212" s="485"/>
    </row>
    <row r="213" spans="1:15" s="569" customFormat="1" ht="12" customHeight="1" hidden="1">
      <c r="A213" s="568"/>
      <c r="C213" s="594" t="s">
        <v>196</v>
      </c>
      <c r="D213" s="602"/>
      <c r="E213" s="603"/>
      <c r="F213" s="604"/>
      <c r="G213" s="605"/>
      <c r="H213" s="604"/>
      <c r="I213" s="604"/>
      <c r="J213" s="604"/>
      <c r="K213" s="604"/>
      <c r="M213" s="600"/>
      <c r="N213" s="601"/>
      <c r="O213" s="485"/>
    </row>
    <row r="214" spans="1:15" s="569" customFormat="1" ht="12" customHeight="1" hidden="1">
      <c r="A214" s="568"/>
      <c r="C214" s="594" t="s">
        <v>197</v>
      </c>
      <c r="D214" s="602"/>
      <c r="E214" s="603"/>
      <c r="F214" s="604"/>
      <c r="G214" s="605"/>
      <c r="H214" s="604"/>
      <c r="I214" s="604"/>
      <c r="J214" s="604"/>
      <c r="K214" s="604"/>
      <c r="M214" s="600"/>
      <c r="N214" s="601"/>
      <c r="O214" s="485"/>
    </row>
    <row r="215" spans="1:15" s="569" customFormat="1" ht="12" customHeight="1" hidden="1">
      <c r="A215" s="568"/>
      <c r="C215" s="606" t="s">
        <v>198</v>
      </c>
      <c r="D215" s="607"/>
      <c r="E215" s="608"/>
      <c r="F215" s="609"/>
      <c r="G215" s="605"/>
      <c r="H215" s="604"/>
      <c r="I215" s="604"/>
      <c r="J215" s="604"/>
      <c r="K215" s="604"/>
      <c r="M215" s="600"/>
      <c r="N215" s="601"/>
      <c r="O215" s="485"/>
    </row>
    <row r="216" spans="1:15" s="569" customFormat="1" ht="5.25" customHeight="1" thickTop="1">
      <c r="A216" s="568"/>
      <c r="C216" s="581"/>
      <c r="D216" s="602"/>
      <c r="E216" s="603"/>
      <c r="F216" s="604"/>
      <c r="G216" s="604"/>
      <c r="H216" s="604"/>
      <c r="I216" s="604"/>
      <c r="J216" s="604"/>
      <c r="K216" s="604"/>
      <c r="M216" s="600"/>
      <c r="N216" s="601"/>
      <c r="O216" s="485"/>
    </row>
    <row r="217" spans="1:15" s="569" customFormat="1" ht="34.5" customHeight="1">
      <c r="A217" s="568"/>
      <c r="C217" s="804" t="s">
        <v>199</v>
      </c>
      <c r="D217" s="804"/>
      <c r="E217" s="804"/>
      <c r="F217" s="804"/>
      <c r="G217" s="804"/>
      <c r="H217" s="804"/>
      <c r="I217" s="804"/>
      <c r="J217" s="804"/>
      <c r="K217" s="804"/>
      <c r="L217" s="804"/>
      <c r="M217" s="600"/>
      <c r="N217" s="601"/>
      <c r="O217" s="485"/>
    </row>
    <row r="218" spans="1:15" s="569" customFormat="1" ht="11.25" customHeight="1" hidden="1">
      <c r="A218" s="568"/>
      <c r="C218" s="592" t="s">
        <v>200</v>
      </c>
      <c r="D218" s="590"/>
      <c r="E218" s="591"/>
      <c r="F218" s="592"/>
      <c r="G218" s="592"/>
      <c r="H218" s="592"/>
      <c r="I218" s="592"/>
      <c r="J218" s="592"/>
      <c r="K218" s="592"/>
      <c r="N218" s="484"/>
      <c r="O218" s="485"/>
    </row>
    <row r="219" spans="1:15" s="569" customFormat="1" ht="5.25" customHeight="1">
      <c r="A219" s="568"/>
      <c r="C219" s="592" t="s">
        <v>47</v>
      </c>
      <c r="D219" s="590"/>
      <c r="E219" s="591"/>
      <c r="F219" s="592"/>
      <c r="G219" s="592"/>
      <c r="H219" s="592"/>
      <c r="I219" s="592"/>
      <c r="J219" s="592"/>
      <c r="K219" s="592"/>
      <c r="N219" s="484"/>
      <c r="O219" s="485"/>
    </row>
    <row r="220" spans="1:15" s="569" customFormat="1" ht="9" customHeight="1" hidden="1">
      <c r="A220" s="568"/>
      <c r="D220" s="506"/>
      <c r="E220" s="610"/>
      <c r="F220" s="611"/>
      <c r="G220" s="611"/>
      <c r="H220" s="611"/>
      <c r="I220" s="611"/>
      <c r="N220" s="484"/>
      <c r="O220" s="485"/>
    </row>
    <row r="221" spans="1:15" s="569" customFormat="1" ht="10.5" customHeight="1">
      <c r="A221" s="568"/>
      <c r="B221" s="568"/>
      <c r="C221" s="484"/>
      <c r="D221" s="484"/>
      <c r="E221" s="484"/>
      <c r="F221" s="612"/>
      <c r="G221" s="612"/>
      <c r="H221" s="612"/>
      <c r="I221" s="612"/>
      <c r="J221" s="484"/>
      <c r="K221" s="484"/>
      <c r="L221" s="484"/>
      <c r="M221" s="484"/>
      <c r="N221" s="484"/>
      <c r="O221" s="485"/>
    </row>
    <row r="222" spans="1:9" s="503" customFormat="1" ht="11.25" customHeight="1">
      <c r="A222" s="502"/>
      <c r="F222" s="504"/>
      <c r="G222" s="504"/>
      <c r="H222" s="504"/>
      <c r="I222" s="504"/>
    </row>
    <row r="223" ht="12.75" hidden="1"/>
    <row r="224" ht="12.75" hidden="1"/>
    <row r="225" ht="12.75" hidden="1"/>
    <row r="226" ht="12.75" hidden="1">
      <c r="D226" s="505"/>
    </row>
    <row r="227" ht="12.75" hidden="1">
      <c r="D227" s="505"/>
    </row>
    <row r="228" ht="12.75" hidden="1">
      <c r="D228" s="505"/>
    </row>
    <row r="229" ht="12.75" hidden="1">
      <c r="D229" s="505"/>
    </row>
    <row r="230" ht="12.75" hidden="1">
      <c r="D230" s="505"/>
    </row>
    <row r="231" ht="12.75" hidden="1">
      <c r="D231" s="505"/>
    </row>
    <row r="232" ht="12.75" hidden="1">
      <c r="D232" s="505"/>
    </row>
    <row r="233" ht="12.75" hidden="1">
      <c r="D233" s="505"/>
    </row>
    <row r="234" ht="12.75" hidden="1">
      <c r="D234" s="505"/>
    </row>
    <row r="235" ht="12.75" hidden="1">
      <c r="D235" s="505"/>
    </row>
    <row r="236" ht="12.75" hidden="1">
      <c r="D236" s="505"/>
    </row>
    <row r="237" ht="12.75" hidden="1">
      <c r="D237" s="505"/>
    </row>
    <row r="238" ht="12.75" hidden="1">
      <c r="D238" s="505"/>
    </row>
    <row r="239" ht="12.75" hidden="1">
      <c r="D239" s="505"/>
    </row>
    <row r="240" ht="12.75" hidden="1">
      <c r="D240" s="505"/>
    </row>
    <row r="241" ht="12.75" hidden="1">
      <c r="D241" s="505"/>
    </row>
    <row r="242" ht="12.75" hidden="1">
      <c r="D242" s="505"/>
    </row>
    <row r="243" ht="12.75" hidden="1">
      <c r="D243" s="505"/>
    </row>
    <row r="244" ht="12.75" hidden="1">
      <c r="D244" s="505"/>
    </row>
    <row r="245" ht="12.75" hidden="1">
      <c r="D245" s="505"/>
    </row>
    <row r="246" ht="12.75" hidden="1">
      <c r="D246" s="505"/>
    </row>
    <row r="247" ht="12.75" hidden="1">
      <c r="D247" s="505"/>
    </row>
    <row r="248" ht="12.75" hidden="1">
      <c r="D248" s="505"/>
    </row>
    <row r="249" ht="12.75" hidden="1">
      <c r="D249" s="505"/>
    </row>
    <row r="250" ht="12.75" hidden="1">
      <c r="D250" s="505"/>
    </row>
    <row r="251" ht="12.75" hidden="1">
      <c r="D251" s="505"/>
    </row>
    <row r="252" ht="12.75" hidden="1">
      <c r="D252" s="505"/>
    </row>
    <row r="253" ht="12.75" hidden="1">
      <c r="D253" s="505"/>
    </row>
    <row r="254" ht="12.75" hidden="1">
      <c r="D254" s="505"/>
    </row>
    <row r="255" ht="12.75" hidden="1">
      <c r="D255" s="505"/>
    </row>
    <row r="256" ht="12.75" hidden="1">
      <c r="D256" s="505"/>
    </row>
    <row r="257" ht="12.75" hidden="1">
      <c r="D257" s="505"/>
    </row>
    <row r="258" ht="12.75" hidden="1">
      <c r="D258" s="505"/>
    </row>
    <row r="259" ht="12.75" hidden="1">
      <c r="D259" s="505"/>
    </row>
    <row r="260" ht="12.75" hidden="1">
      <c r="D260" s="505"/>
    </row>
    <row r="261" ht="12.75" hidden="1">
      <c r="D261" s="505"/>
    </row>
    <row r="262" ht="12.75" hidden="1">
      <c r="D262" s="505"/>
    </row>
    <row r="263" ht="12.75" hidden="1">
      <c r="D263" s="505"/>
    </row>
    <row r="264" ht="12.75" hidden="1">
      <c r="D264" s="505"/>
    </row>
    <row r="265" ht="12.75" hidden="1">
      <c r="D265" s="505"/>
    </row>
    <row r="266" ht="12.75" hidden="1">
      <c r="D266" s="505"/>
    </row>
    <row r="267" ht="12.75" hidden="1">
      <c r="D267" s="505"/>
    </row>
    <row r="268" ht="12.75" hidden="1">
      <c r="D268" s="505"/>
    </row>
    <row r="269" ht="12.75" hidden="1">
      <c r="D269" s="505"/>
    </row>
    <row r="270" ht="12.75" hidden="1">
      <c r="D270" s="505"/>
    </row>
    <row r="271" ht="12.75" hidden="1">
      <c r="D271" s="505"/>
    </row>
    <row r="272" ht="12.75" hidden="1">
      <c r="D272" s="505"/>
    </row>
    <row r="273" ht="12.75" hidden="1">
      <c r="D273" s="505"/>
    </row>
    <row r="274" ht="12.75" hidden="1">
      <c r="D274" s="505"/>
    </row>
    <row r="275" ht="12.75" hidden="1">
      <c r="D275" s="505"/>
    </row>
    <row r="276" ht="12.75" hidden="1">
      <c r="D276" s="505"/>
    </row>
    <row r="277" ht="12.75" hidden="1">
      <c r="D277" s="505"/>
    </row>
    <row r="278" ht="12.75" hidden="1">
      <c r="D278" s="505"/>
    </row>
    <row r="279" ht="12.75" hidden="1">
      <c r="D279" s="505"/>
    </row>
    <row r="280" ht="12.75" hidden="1">
      <c r="D280" s="505"/>
    </row>
    <row r="281" ht="12.75" hidden="1">
      <c r="D281" s="505"/>
    </row>
    <row r="282" ht="12.75" hidden="1">
      <c r="D282" s="505"/>
    </row>
    <row r="283" ht="12.75" hidden="1">
      <c r="D283" s="505"/>
    </row>
    <row r="284" ht="12.75" hidden="1">
      <c r="D284" s="505"/>
    </row>
    <row r="285" ht="12.75" hidden="1">
      <c r="D285" s="505"/>
    </row>
    <row r="286" ht="12.75" hidden="1">
      <c r="D286" s="505"/>
    </row>
    <row r="287" ht="12.75" hidden="1">
      <c r="D287" s="505"/>
    </row>
    <row r="288" ht="12.75" hidden="1">
      <c r="D288" s="505"/>
    </row>
    <row r="289" ht="12.75" hidden="1">
      <c r="D289" s="505"/>
    </row>
    <row r="290" ht="12.75" hidden="1">
      <c r="D290" s="505"/>
    </row>
    <row r="291" ht="12.75" hidden="1">
      <c r="D291" s="505"/>
    </row>
    <row r="292" ht="12.75" hidden="1">
      <c r="D292" s="505"/>
    </row>
    <row r="293" ht="12.75" hidden="1">
      <c r="D293" s="505"/>
    </row>
    <row r="294" ht="12.75" hidden="1">
      <c r="D294" s="505"/>
    </row>
    <row r="295" ht="12.75" hidden="1">
      <c r="D295" s="505"/>
    </row>
    <row r="296" ht="12.75" hidden="1">
      <c r="D296" s="505"/>
    </row>
    <row r="297" ht="12.75" hidden="1">
      <c r="D297" s="505"/>
    </row>
    <row r="298" ht="12.75" hidden="1">
      <c r="D298" s="505"/>
    </row>
    <row r="299" ht="12.75" hidden="1">
      <c r="D299" s="505"/>
    </row>
    <row r="300" ht="12.75" hidden="1">
      <c r="D300" s="505"/>
    </row>
    <row r="301" ht="12.75" hidden="1">
      <c r="D301" s="505"/>
    </row>
    <row r="302" ht="12.75" hidden="1">
      <c r="D302" s="505"/>
    </row>
    <row r="303" ht="12.75" hidden="1">
      <c r="D303" s="505"/>
    </row>
    <row r="304" ht="12.75" hidden="1">
      <c r="D304" s="505"/>
    </row>
    <row r="305" ht="12.75" hidden="1">
      <c r="D305" s="505"/>
    </row>
    <row r="306" ht="12.75" hidden="1">
      <c r="D306" s="505"/>
    </row>
    <row r="307" ht="12.75" hidden="1">
      <c r="D307" s="505"/>
    </row>
    <row r="308" ht="12.75" hidden="1">
      <c r="D308" s="505"/>
    </row>
    <row r="309" ht="12.75" hidden="1">
      <c r="D309" s="505"/>
    </row>
    <row r="310" ht="12.75" hidden="1">
      <c r="D310" s="505"/>
    </row>
    <row r="311" ht="12.75" hidden="1">
      <c r="D311" s="505"/>
    </row>
    <row r="312" ht="12.75" hidden="1">
      <c r="D312" s="505"/>
    </row>
    <row r="313" ht="12.75" hidden="1">
      <c r="D313" s="505"/>
    </row>
    <row r="314" ht="12.75" hidden="1">
      <c r="D314" s="505"/>
    </row>
    <row r="315" ht="12.75" hidden="1">
      <c r="D315" s="505"/>
    </row>
    <row r="316" ht="12.75" hidden="1">
      <c r="D316" s="505"/>
    </row>
    <row r="317" ht="12.75" hidden="1">
      <c r="D317" s="505"/>
    </row>
    <row r="318" ht="12.75" hidden="1">
      <c r="D318" s="505"/>
    </row>
    <row r="319" ht="12.75" hidden="1">
      <c r="D319" s="505"/>
    </row>
    <row r="320" ht="12.75" hidden="1">
      <c r="D320" s="505"/>
    </row>
    <row r="321" ht="12.75" hidden="1">
      <c r="D321" s="505"/>
    </row>
    <row r="322" ht="12.75" hidden="1">
      <c r="D322" s="505"/>
    </row>
    <row r="323" ht="12.75" hidden="1">
      <c r="D323" s="505"/>
    </row>
    <row r="324" ht="12.75" hidden="1">
      <c r="D324" s="505"/>
    </row>
    <row r="325" ht="12.75" hidden="1">
      <c r="D325" s="505"/>
    </row>
    <row r="326" ht="12.75" hidden="1">
      <c r="D326" s="505"/>
    </row>
    <row r="327" ht="12.75" hidden="1">
      <c r="D327" s="505"/>
    </row>
    <row r="328" ht="12.75" hidden="1">
      <c r="D328" s="505"/>
    </row>
    <row r="329" ht="12.75" hidden="1">
      <c r="D329" s="505"/>
    </row>
    <row r="330" ht="12.75" hidden="1">
      <c r="D330" s="505"/>
    </row>
    <row r="331" ht="12.75" hidden="1">
      <c r="D331" s="505"/>
    </row>
    <row r="332" ht="12.75" hidden="1">
      <c r="D332" s="505"/>
    </row>
    <row r="333" ht="12.75" hidden="1">
      <c r="D333" s="505"/>
    </row>
    <row r="334" ht="12.75" hidden="1">
      <c r="D334" s="505"/>
    </row>
    <row r="335" ht="12.75" hidden="1">
      <c r="D335" s="505"/>
    </row>
    <row r="336" ht="12.75" hidden="1">
      <c r="D336" s="505"/>
    </row>
    <row r="337" ht="12.75" hidden="1">
      <c r="D337" s="505"/>
    </row>
    <row r="338" ht="12.75" hidden="1">
      <c r="D338" s="505"/>
    </row>
    <row r="339" ht="12.75" hidden="1">
      <c r="D339" s="505"/>
    </row>
    <row r="340" ht="12.75" hidden="1">
      <c r="D340" s="505"/>
    </row>
    <row r="341" ht="12.75" hidden="1">
      <c r="D341" s="505"/>
    </row>
    <row r="342" ht="12.75" hidden="1">
      <c r="D342" s="505"/>
    </row>
    <row r="343" ht="12.75" hidden="1">
      <c r="D343" s="505"/>
    </row>
    <row r="344" ht="12.75" hidden="1">
      <c r="D344" s="505"/>
    </row>
    <row r="345" ht="12.75" hidden="1">
      <c r="D345" s="505"/>
    </row>
    <row r="346" ht="12.75" hidden="1">
      <c r="D346" s="505"/>
    </row>
    <row r="347" ht="12.75" hidden="1">
      <c r="D347" s="505"/>
    </row>
    <row r="348" ht="12.75" hidden="1">
      <c r="D348" s="505"/>
    </row>
    <row r="349" ht="12.75" hidden="1">
      <c r="D349" s="505"/>
    </row>
    <row r="350" ht="12.75" hidden="1">
      <c r="D350" s="505"/>
    </row>
    <row r="351" ht="12.75" hidden="1">
      <c r="D351" s="505"/>
    </row>
    <row r="352" ht="12.75" hidden="1">
      <c r="D352" s="505"/>
    </row>
    <row r="353" ht="12.75" hidden="1">
      <c r="D353" s="505"/>
    </row>
    <row r="354" ht="12.75" hidden="1">
      <c r="D354" s="505"/>
    </row>
    <row r="355" ht="12.75" hidden="1">
      <c r="D355" s="505"/>
    </row>
    <row r="356" ht="12.75" hidden="1">
      <c r="D356" s="505"/>
    </row>
    <row r="357" ht="12.75" hidden="1">
      <c r="D357" s="505"/>
    </row>
    <row r="358" ht="12.75" hidden="1">
      <c r="D358" s="505"/>
    </row>
    <row r="359" ht="12.75" hidden="1">
      <c r="D359" s="505"/>
    </row>
    <row r="360" ht="12.75" hidden="1">
      <c r="D360" s="505"/>
    </row>
    <row r="361" ht="12.75" hidden="1">
      <c r="D361" s="505"/>
    </row>
    <row r="362" ht="12.75" hidden="1">
      <c r="D362" s="505"/>
    </row>
    <row r="363" ht="12.75" hidden="1">
      <c r="D363" s="505"/>
    </row>
    <row r="364" ht="12.75" hidden="1">
      <c r="D364" s="505"/>
    </row>
    <row r="365" ht="12.75" hidden="1">
      <c r="D365" s="505"/>
    </row>
    <row r="366" ht="12.75" hidden="1">
      <c r="D366" s="505"/>
    </row>
    <row r="367" ht="12.75" hidden="1">
      <c r="D367" s="505"/>
    </row>
    <row r="368" ht="12.75" hidden="1">
      <c r="D368" s="505"/>
    </row>
    <row r="369" ht="12.75" hidden="1">
      <c r="D369" s="505"/>
    </row>
    <row r="370" ht="12.75" hidden="1">
      <c r="D370" s="505"/>
    </row>
    <row r="371" ht="12.75" hidden="1">
      <c r="D371" s="505"/>
    </row>
    <row r="372" ht="12.75" hidden="1">
      <c r="D372" s="505"/>
    </row>
    <row r="373" ht="12.75" hidden="1">
      <c r="D373" s="505"/>
    </row>
    <row r="374" ht="12.75" hidden="1">
      <c r="D374" s="505"/>
    </row>
    <row r="375" ht="12.75" hidden="1">
      <c r="D375" s="505"/>
    </row>
    <row r="376" ht="12.75" hidden="1">
      <c r="D376" s="505"/>
    </row>
    <row r="377" ht="12.75" hidden="1">
      <c r="D377" s="505"/>
    </row>
    <row r="378" ht="12.75" hidden="1">
      <c r="D378" s="505"/>
    </row>
    <row r="379" ht="12.75" hidden="1">
      <c r="D379" s="505"/>
    </row>
    <row r="380" ht="12.75" hidden="1">
      <c r="D380" s="505"/>
    </row>
    <row r="381" ht="12.75" hidden="1">
      <c r="D381" s="505"/>
    </row>
    <row r="382" ht="12.75" hidden="1">
      <c r="D382" s="505"/>
    </row>
    <row r="383" ht="12.75" hidden="1">
      <c r="D383" s="505"/>
    </row>
    <row r="384" ht="12.75" hidden="1">
      <c r="D384" s="505"/>
    </row>
    <row r="385" ht="12.75" hidden="1">
      <c r="D385" s="505"/>
    </row>
    <row r="386" ht="12.75" hidden="1">
      <c r="D386" s="505"/>
    </row>
    <row r="387" ht="12.75" hidden="1">
      <c r="D387" s="505"/>
    </row>
    <row r="388" ht="12.75" hidden="1">
      <c r="D388" s="505"/>
    </row>
    <row r="389" ht="12.75" hidden="1">
      <c r="D389" s="505"/>
    </row>
    <row r="390" ht="12.75" hidden="1">
      <c r="D390" s="505"/>
    </row>
    <row r="391" spans="2:5" ht="12.75" customHeight="1" hidden="1">
      <c r="B391" s="613" t="s">
        <v>594</v>
      </c>
      <c r="D391" s="614">
        <v>634492</v>
      </c>
      <c r="E391" s="505">
        <v>634492</v>
      </c>
    </row>
    <row r="392" spans="2:5" ht="12.75" customHeight="1" hidden="1">
      <c r="B392" s="613" t="s">
        <v>595</v>
      </c>
      <c r="D392" s="614">
        <v>634490</v>
      </c>
      <c r="E392" s="505">
        <v>634490</v>
      </c>
    </row>
    <row r="393" spans="2:5" ht="12.75" customHeight="1" hidden="1">
      <c r="B393" s="613" t="s">
        <v>596</v>
      </c>
      <c r="D393" s="614">
        <v>634501</v>
      </c>
      <c r="E393" s="505">
        <v>634501</v>
      </c>
    </row>
    <row r="394" spans="2:5" ht="12.75" customHeight="1" hidden="1">
      <c r="B394" s="613" t="s">
        <v>597</v>
      </c>
      <c r="D394" s="614">
        <v>608733</v>
      </c>
      <c r="E394" s="505">
        <v>608733</v>
      </c>
    </row>
    <row r="395" spans="2:5" ht="12.75" customHeight="1" hidden="1">
      <c r="B395" s="613" t="s">
        <v>598</v>
      </c>
      <c r="D395" s="614">
        <v>576625</v>
      </c>
      <c r="E395" s="505">
        <v>576625</v>
      </c>
    </row>
    <row r="396" spans="2:5" ht="12.75" customHeight="1" hidden="1">
      <c r="B396" s="613" t="s">
        <v>599</v>
      </c>
      <c r="D396" s="614">
        <v>634491</v>
      </c>
      <c r="E396" s="505">
        <v>634491</v>
      </c>
    </row>
    <row r="397" spans="2:5" ht="12.75" customHeight="1" hidden="1">
      <c r="B397" s="613" t="s">
        <v>600</v>
      </c>
      <c r="D397" s="614">
        <v>605497</v>
      </c>
      <c r="E397" s="505">
        <v>605497</v>
      </c>
    </row>
    <row r="398" spans="2:5" ht="12.75" customHeight="1" hidden="1">
      <c r="B398" s="613" t="s">
        <v>601</v>
      </c>
      <c r="D398" s="614">
        <v>634502</v>
      </c>
      <c r="E398" s="505">
        <v>634502</v>
      </c>
    </row>
    <row r="399" spans="2:5" ht="12.75" customHeight="1" hidden="1">
      <c r="B399" s="613" t="s">
        <v>602</v>
      </c>
      <c r="D399" s="614">
        <v>634500</v>
      </c>
      <c r="E399" s="505">
        <v>634500</v>
      </c>
    </row>
    <row r="400" spans="2:5" ht="12.75" customHeight="1" hidden="1">
      <c r="B400" s="613" t="s">
        <v>603</v>
      </c>
      <c r="D400" s="614">
        <v>634499</v>
      </c>
      <c r="E400" s="505">
        <v>634499</v>
      </c>
    </row>
    <row r="401" spans="2:5" ht="12.75" customHeight="1" hidden="1">
      <c r="B401" s="613" t="s">
        <v>604</v>
      </c>
      <c r="D401" s="614">
        <v>595632</v>
      </c>
      <c r="E401" s="505">
        <v>595632</v>
      </c>
    </row>
    <row r="402" spans="2:5" ht="12.75" customHeight="1" hidden="1">
      <c r="B402" s="613" t="s">
        <v>605</v>
      </c>
      <c r="D402" s="614">
        <v>596559</v>
      </c>
      <c r="E402" s="505">
        <v>596559</v>
      </c>
    </row>
    <row r="403" spans="2:5" ht="12.75" customHeight="1" hidden="1">
      <c r="B403" s="613" t="s">
        <v>606</v>
      </c>
      <c r="D403" s="614">
        <v>595642</v>
      </c>
      <c r="E403" s="505">
        <v>595642</v>
      </c>
    </row>
    <row r="404" spans="2:5" ht="12.75" customHeight="1" hidden="1">
      <c r="B404" s="613" t="s">
        <v>607</v>
      </c>
      <c r="D404" s="614">
        <v>576999</v>
      </c>
      <c r="E404" s="505">
        <v>576999</v>
      </c>
    </row>
    <row r="405" spans="2:5" ht="12.75" customHeight="1" hidden="1">
      <c r="B405" s="613" t="s">
        <v>608</v>
      </c>
      <c r="D405" s="614">
        <v>596560</v>
      </c>
      <c r="E405" s="505">
        <v>596560</v>
      </c>
    </row>
    <row r="406" spans="2:5" ht="12.75" customHeight="1" hidden="1">
      <c r="B406" s="613" t="s">
        <v>609</v>
      </c>
      <c r="D406" s="614">
        <v>596622</v>
      </c>
      <c r="E406" s="505">
        <v>596622</v>
      </c>
    </row>
    <row r="407" spans="2:5" ht="12.75" customHeight="1" hidden="1">
      <c r="B407" s="613" t="s">
        <v>610</v>
      </c>
      <c r="D407" s="614">
        <v>596652</v>
      </c>
      <c r="E407" s="505">
        <v>596652</v>
      </c>
    </row>
    <row r="408" ht="12.75" hidden="1">
      <c r="D408" s="505"/>
    </row>
    <row r="409" ht="12.75" hidden="1">
      <c r="D409" s="505"/>
    </row>
    <row r="410" ht="12.75" hidden="1">
      <c r="D410" s="505"/>
    </row>
    <row r="411" ht="12.75" hidden="1">
      <c r="D411" s="505"/>
    </row>
    <row r="412" ht="12.75" hidden="1">
      <c r="D412" s="505"/>
    </row>
    <row r="413" ht="12.75" hidden="1">
      <c r="D413" s="505"/>
    </row>
    <row r="414" ht="12.75" hidden="1">
      <c r="D414" s="505"/>
    </row>
    <row r="415" ht="12.75" hidden="1">
      <c r="D415" s="505"/>
    </row>
    <row r="416" ht="12.75" hidden="1">
      <c r="D416" s="505"/>
    </row>
    <row r="417" ht="12.75" hidden="1">
      <c r="D417" s="505"/>
    </row>
    <row r="418" ht="12.75" hidden="1">
      <c r="D418" s="505"/>
    </row>
    <row r="419" ht="12.75" hidden="1">
      <c r="D419" s="505"/>
    </row>
    <row r="420" ht="12.75" hidden="1">
      <c r="D420" s="505"/>
    </row>
    <row r="421" ht="12.75" hidden="1">
      <c r="D421" s="505"/>
    </row>
    <row r="422" ht="12.75" hidden="1">
      <c r="D422" s="505"/>
    </row>
    <row r="423" ht="12.75" hidden="1">
      <c r="D423" s="505"/>
    </row>
    <row r="424" ht="12.75" hidden="1">
      <c r="D424" s="505"/>
    </row>
    <row r="425" ht="12.75" hidden="1">
      <c r="D425" s="505"/>
    </row>
    <row r="426" ht="12.75" hidden="1">
      <c r="D426" s="505"/>
    </row>
    <row r="427" ht="12.75" hidden="1">
      <c r="D427" s="505"/>
    </row>
    <row r="428" ht="12.75" hidden="1">
      <c r="D428" s="505"/>
    </row>
    <row r="429" ht="12.75" hidden="1">
      <c r="D429" s="505"/>
    </row>
    <row r="430" ht="12.75" hidden="1">
      <c r="D430" s="505"/>
    </row>
    <row r="431" ht="12.75" hidden="1">
      <c r="D431" s="505"/>
    </row>
    <row r="432" ht="12.75" hidden="1">
      <c r="D432" s="505"/>
    </row>
    <row r="433" ht="12.75" hidden="1">
      <c r="D433" s="505"/>
    </row>
    <row r="434" ht="12.75" hidden="1">
      <c r="D434" s="505"/>
    </row>
    <row r="435" ht="12.75" hidden="1">
      <c r="D435" s="505"/>
    </row>
    <row r="436" ht="12.75" hidden="1">
      <c r="D436" s="505"/>
    </row>
    <row r="437" ht="12.75" hidden="1">
      <c r="D437" s="505"/>
    </row>
    <row r="438" ht="12.75" hidden="1">
      <c r="D438" s="505"/>
    </row>
    <row r="439" ht="12.75" hidden="1">
      <c r="D439" s="505"/>
    </row>
    <row r="440" ht="12.75" hidden="1">
      <c r="D440" s="505"/>
    </row>
    <row r="441" ht="12.75" hidden="1">
      <c r="D441" s="505"/>
    </row>
    <row r="442" ht="12.75" hidden="1">
      <c r="D442" s="505"/>
    </row>
    <row r="443" ht="12.75" hidden="1">
      <c r="D443" s="505"/>
    </row>
    <row r="444" ht="12.75" hidden="1">
      <c r="D444" s="505"/>
    </row>
    <row r="445" ht="12.75" hidden="1">
      <c r="D445" s="505"/>
    </row>
    <row r="446" ht="12.75" hidden="1">
      <c r="D446" s="505"/>
    </row>
    <row r="447" ht="12.75" hidden="1">
      <c r="D447" s="505"/>
    </row>
    <row r="448" ht="12.75" hidden="1">
      <c r="D448" s="505"/>
    </row>
    <row r="449" ht="12.75" hidden="1">
      <c r="D449" s="505"/>
    </row>
    <row r="450" ht="12.75" hidden="1">
      <c r="D450" s="505"/>
    </row>
    <row r="451" ht="12.75" hidden="1">
      <c r="D451" s="505"/>
    </row>
    <row r="452" ht="12.75" hidden="1">
      <c r="D452" s="505"/>
    </row>
    <row r="453" ht="12.75" hidden="1">
      <c r="D453" s="505"/>
    </row>
    <row r="454" ht="12.75" hidden="1">
      <c r="D454" s="505"/>
    </row>
    <row r="455" ht="12.75" hidden="1">
      <c r="D455" s="505"/>
    </row>
    <row r="456" ht="12.75" hidden="1">
      <c r="D456" s="505"/>
    </row>
    <row r="457" ht="12.75" hidden="1">
      <c r="D457" s="505"/>
    </row>
    <row r="458" ht="12.75" hidden="1">
      <c r="D458" s="505"/>
    </row>
    <row r="459" ht="12.75" hidden="1">
      <c r="D459" s="505"/>
    </row>
    <row r="460" ht="12.75" hidden="1">
      <c r="D460" s="505"/>
    </row>
    <row r="461" ht="12.75" hidden="1">
      <c r="D461" s="505"/>
    </row>
    <row r="462" ht="12.75" hidden="1">
      <c r="D462" s="505"/>
    </row>
    <row r="463" ht="12.75" hidden="1">
      <c r="D463" s="505"/>
    </row>
    <row r="464" ht="12.75" hidden="1">
      <c r="D464" s="505"/>
    </row>
    <row r="465" ht="12.75" hidden="1">
      <c r="D465" s="505"/>
    </row>
    <row r="466" ht="12.75" hidden="1">
      <c r="D466" s="505"/>
    </row>
    <row r="467" ht="12.75" hidden="1">
      <c r="D467" s="505"/>
    </row>
    <row r="468" ht="12.75" hidden="1">
      <c r="D468" s="505"/>
    </row>
    <row r="469" ht="12.75" hidden="1">
      <c r="D469" s="505"/>
    </row>
    <row r="470" ht="12.75" hidden="1">
      <c r="D470" s="505"/>
    </row>
    <row r="471" ht="12.75" hidden="1">
      <c r="D471" s="505"/>
    </row>
    <row r="472" ht="12.75" hidden="1">
      <c r="D472" s="505"/>
    </row>
    <row r="473" ht="12.75" hidden="1">
      <c r="D473" s="505"/>
    </row>
    <row r="474" ht="12.75" hidden="1">
      <c r="D474" s="505"/>
    </row>
    <row r="475" ht="12.75" hidden="1">
      <c r="D475" s="505"/>
    </row>
    <row r="476" ht="12.75" hidden="1">
      <c r="D476" s="505"/>
    </row>
    <row r="477" ht="12.75" hidden="1">
      <c r="D477" s="505"/>
    </row>
    <row r="478" ht="12.75" hidden="1">
      <c r="D478" s="505"/>
    </row>
    <row r="479" ht="12.75" hidden="1">
      <c r="D479" s="505"/>
    </row>
    <row r="480" ht="12.75" hidden="1">
      <c r="D480" s="505"/>
    </row>
    <row r="481" ht="12.75" hidden="1">
      <c r="D481" s="505"/>
    </row>
    <row r="482" ht="12.75" hidden="1">
      <c r="D482" s="505"/>
    </row>
    <row r="483" ht="12.75" hidden="1">
      <c r="D483" s="505"/>
    </row>
    <row r="484" ht="12.75" hidden="1">
      <c r="D484" s="505"/>
    </row>
    <row r="485" ht="12.75" hidden="1">
      <c r="D485" s="505"/>
    </row>
    <row r="486" ht="12.75" hidden="1">
      <c r="D486" s="505"/>
    </row>
    <row r="487" ht="12.75" hidden="1">
      <c r="D487" s="505"/>
    </row>
    <row r="488" ht="12.75" hidden="1">
      <c r="D488" s="505"/>
    </row>
    <row r="489" ht="12.75" hidden="1">
      <c r="D489" s="505"/>
    </row>
    <row r="490" ht="12.75" hidden="1">
      <c r="D490" s="505"/>
    </row>
    <row r="491" ht="12.75" hidden="1">
      <c r="D491" s="505"/>
    </row>
    <row r="492" ht="12.75" hidden="1">
      <c r="D492" s="505"/>
    </row>
    <row r="493" ht="12.75" hidden="1">
      <c r="D493" s="505"/>
    </row>
    <row r="494" ht="12.75" hidden="1">
      <c r="D494" s="505"/>
    </row>
    <row r="495" ht="12.75" hidden="1">
      <c r="D495" s="505"/>
    </row>
    <row r="496" ht="12.75" hidden="1">
      <c r="D496" s="505"/>
    </row>
    <row r="497" ht="12.75" hidden="1">
      <c r="D497" s="505"/>
    </row>
    <row r="498" ht="12.75" hidden="1">
      <c r="D498" s="505"/>
    </row>
    <row r="499" ht="12.75" hidden="1">
      <c r="D499" s="505"/>
    </row>
    <row r="500" ht="12.75" hidden="1">
      <c r="D500" s="505"/>
    </row>
    <row r="501" ht="12.75" hidden="1">
      <c r="D501" s="505"/>
    </row>
    <row r="502" ht="12.75" hidden="1">
      <c r="D502" s="505"/>
    </row>
    <row r="503" ht="12.75" hidden="1">
      <c r="D503" s="505"/>
    </row>
    <row r="504" ht="12.75" hidden="1">
      <c r="D504" s="505"/>
    </row>
    <row r="505" ht="12.75" hidden="1">
      <c r="D505" s="505"/>
    </row>
    <row r="506" ht="12.75" hidden="1">
      <c r="D506" s="505"/>
    </row>
    <row r="507" ht="12.75" hidden="1">
      <c r="D507" s="505"/>
    </row>
    <row r="508" ht="12.75" hidden="1">
      <c r="D508" s="505"/>
    </row>
    <row r="509" ht="12.75" hidden="1">
      <c r="D509" s="505"/>
    </row>
    <row r="510" ht="12.75" hidden="1">
      <c r="D510" s="505"/>
    </row>
    <row r="511" ht="12.75" hidden="1">
      <c r="D511" s="505"/>
    </row>
    <row r="512" ht="12.75" hidden="1">
      <c r="D512" s="505"/>
    </row>
    <row r="513" ht="12.75" hidden="1">
      <c r="D513" s="505"/>
    </row>
    <row r="514" ht="12.75" hidden="1">
      <c r="D514" s="505"/>
    </row>
    <row r="515" ht="12.75" hidden="1">
      <c r="D515" s="505"/>
    </row>
    <row r="516" ht="12.75" hidden="1">
      <c r="D516" s="505"/>
    </row>
    <row r="517" ht="12.75" hidden="1">
      <c r="D517" s="505"/>
    </row>
    <row r="518" ht="12.75" hidden="1">
      <c r="D518" s="505"/>
    </row>
    <row r="519" ht="12.75" hidden="1">
      <c r="D519" s="505"/>
    </row>
    <row r="520" ht="12.75" hidden="1">
      <c r="D520" s="505"/>
    </row>
    <row r="521" ht="12.75" hidden="1">
      <c r="D521" s="505"/>
    </row>
    <row r="522" ht="12.75" hidden="1">
      <c r="D522" s="505"/>
    </row>
    <row r="523" ht="12.75" hidden="1">
      <c r="D523" s="505"/>
    </row>
    <row r="524" ht="12.75" hidden="1">
      <c r="D524" s="505"/>
    </row>
    <row r="525" ht="12.75" hidden="1">
      <c r="D525" s="505"/>
    </row>
    <row r="526" ht="12.75" hidden="1">
      <c r="D526" s="505"/>
    </row>
    <row r="527" ht="12.75" hidden="1">
      <c r="D527" s="505"/>
    </row>
    <row r="528" ht="12.75" hidden="1">
      <c r="D528" s="505"/>
    </row>
    <row r="529" ht="12.75" hidden="1">
      <c r="D529" s="505"/>
    </row>
    <row r="530" ht="12.75" hidden="1">
      <c r="D530" s="505"/>
    </row>
    <row r="531" ht="12.75" hidden="1">
      <c r="D531" s="505"/>
    </row>
    <row r="532" ht="12.75" hidden="1">
      <c r="D532" s="505"/>
    </row>
    <row r="533" ht="12.75" hidden="1">
      <c r="D533" s="505"/>
    </row>
    <row r="534" ht="12.75" hidden="1">
      <c r="D534" s="505"/>
    </row>
    <row r="535" ht="12.75" hidden="1">
      <c r="D535" s="505"/>
    </row>
    <row r="536" ht="12.75" hidden="1">
      <c r="D536" s="505"/>
    </row>
    <row r="537" ht="12.75" hidden="1">
      <c r="D537" s="505"/>
    </row>
    <row r="538" ht="12.75" hidden="1">
      <c r="D538" s="505"/>
    </row>
    <row r="539" ht="12.75" hidden="1">
      <c r="D539" s="505"/>
    </row>
    <row r="540" ht="12.75" hidden="1">
      <c r="D540" s="505"/>
    </row>
    <row r="541" ht="12.75" hidden="1">
      <c r="D541" s="505"/>
    </row>
    <row r="542" ht="12.75" hidden="1">
      <c r="D542" s="505"/>
    </row>
    <row r="543" ht="12.75" hidden="1">
      <c r="D543" s="505"/>
    </row>
    <row r="544" ht="12.75" hidden="1">
      <c r="D544" s="505"/>
    </row>
    <row r="545" ht="12.75" hidden="1">
      <c r="D545" s="505"/>
    </row>
    <row r="546" ht="12.75" hidden="1">
      <c r="D546" s="505"/>
    </row>
    <row r="547" ht="12.75" hidden="1">
      <c r="D547" s="505"/>
    </row>
    <row r="548" ht="12.75" hidden="1">
      <c r="D548" s="505"/>
    </row>
    <row r="549" ht="12.75" hidden="1">
      <c r="D549" s="505"/>
    </row>
    <row r="550" ht="12.75" hidden="1">
      <c r="D550" s="505"/>
    </row>
    <row r="551" ht="12.75" hidden="1">
      <c r="D551" s="505"/>
    </row>
    <row r="552" ht="12.75" hidden="1">
      <c r="D552" s="505"/>
    </row>
    <row r="553" ht="12.75" hidden="1">
      <c r="D553" s="505"/>
    </row>
    <row r="554" ht="12.75" hidden="1">
      <c r="D554" s="505"/>
    </row>
    <row r="555" ht="12.75" hidden="1">
      <c r="D555" s="505"/>
    </row>
    <row r="556" ht="12.75" hidden="1">
      <c r="D556" s="505"/>
    </row>
    <row r="557" ht="12.75" hidden="1">
      <c r="D557" s="505"/>
    </row>
    <row r="558" ht="12.75" hidden="1">
      <c r="D558" s="505"/>
    </row>
    <row r="559" ht="12.75" hidden="1">
      <c r="D559" s="505"/>
    </row>
    <row r="560" ht="12.75" hidden="1">
      <c r="D560" s="505"/>
    </row>
    <row r="561" ht="12.75" hidden="1">
      <c r="D561" s="505"/>
    </row>
    <row r="562" ht="12.75" hidden="1">
      <c r="D562" s="505"/>
    </row>
    <row r="563" ht="12.75" hidden="1">
      <c r="D563" s="505"/>
    </row>
    <row r="564" ht="12.75" hidden="1">
      <c r="D564" s="505"/>
    </row>
    <row r="565" ht="12.75" hidden="1">
      <c r="D565" s="505"/>
    </row>
    <row r="566" ht="12.75" hidden="1">
      <c r="D566" s="505"/>
    </row>
    <row r="567" ht="12.75" hidden="1">
      <c r="D567" s="505"/>
    </row>
    <row r="568" ht="12.75" hidden="1">
      <c r="D568" s="505"/>
    </row>
    <row r="569" ht="12.75" hidden="1">
      <c r="D569" s="505"/>
    </row>
    <row r="570" ht="12.75" hidden="1">
      <c r="D570" s="505"/>
    </row>
    <row r="571" ht="12.75" hidden="1">
      <c r="D571" s="505"/>
    </row>
    <row r="572" ht="12.75" hidden="1">
      <c r="D572" s="505"/>
    </row>
    <row r="573" ht="12.75" hidden="1">
      <c r="D573" s="505"/>
    </row>
    <row r="574" ht="12.75" hidden="1">
      <c r="D574" s="505"/>
    </row>
    <row r="575" ht="12.75" hidden="1">
      <c r="D575" s="505"/>
    </row>
    <row r="576" ht="12.75" hidden="1">
      <c r="D576" s="505"/>
    </row>
    <row r="577" ht="12.75" hidden="1">
      <c r="D577" s="505"/>
    </row>
    <row r="578" ht="12.75" hidden="1">
      <c r="D578" s="505"/>
    </row>
    <row r="579" ht="12.75" hidden="1">
      <c r="D579" s="505"/>
    </row>
    <row r="580" ht="12.75" hidden="1">
      <c r="D580" s="505"/>
    </row>
    <row r="581" ht="12.75" hidden="1">
      <c r="D581" s="505"/>
    </row>
    <row r="582" ht="12.75" hidden="1">
      <c r="D582" s="505"/>
    </row>
    <row r="583" ht="12.75" hidden="1">
      <c r="D583" s="505"/>
    </row>
    <row r="584" ht="12.75" hidden="1">
      <c r="D584" s="505"/>
    </row>
    <row r="585" ht="12.75" hidden="1">
      <c r="D585" s="505"/>
    </row>
    <row r="586" ht="12.75" hidden="1">
      <c r="D586" s="505"/>
    </row>
    <row r="587" ht="12.75" hidden="1">
      <c r="D587" s="505"/>
    </row>
    <row r="588" ht="12.75" hidden="1">
      <c r="D588" s="505"/>
    </row>
    <row r="589" ht="12.75" hidden="1">
      <c r="D589" s="505"/>
    </row>
    <row r="590" ht="12.75" hidden="1">
      <c r="D590" s="505"/>
    </row>
    <row r="591" ht="12.75" hidden="1">
      <c r="D591" s="505"/>
    </row>
    <row r="592" ht="12.75" hidden="1">
      <c r="D592" s="505"/>
    </row>
    <row r="593" ht="12.75" hidden="1">
      <c r="D593" s="505"/>
    </row>
    <row r="594" ht="12.75" hidden="1">
      <c r="D594" s="505"/>
    </row>
    <row r="595" ht="12.75" hidden="1">
      <c r="D595" s="505"/>
    </row>
    <row r="596" ht="12.75" hidden="1">
      <c r="D596" s="505"/>
    </row>
    <row r="597" ht="12.75" hidden="1">
      <c r="D597" s="505"/>
    </row>
    <row r="598" ht="12.75" hidden="1">
      <c r="D598" s="505"/>
    </row>
    <row r="599" ht="12.75" hidden="1">
      <c r="D599" s="505"/>
    </row>
    <row r="600" ht="12.75" hidden="1">
      <c r="D600" s="505"/>
    </row>
    <row r="601" ht="12.75" hidden="1">
      <c r="D601" s="505"/>
    </row>
    <row r="602" ht="12.75" hidden="1">
      <c r="D602" s="505"/>
    </row>
    <row r="603" ht="12.75" hidden="1">
      <c r="D603" s="505"/>
    </row>
    <row r="604" ht="12.75" hidden="1">
      <c r="D604" s="505"/>
    </row>
    <row r="605" ht="12.75" hidden="1">
      <c r="D605" s="505"/>
    </row>
    <row r="606" ht="12.75" hidden="1">
      <c r="D606" s="505"/>
    </row>
    <row r="607" ht="12.75" hidden="1">
      <c r="D607" s="505"/>
    </row>
    <row r="608" ht="12.75" hidden="1">
      <c r="D608" s="505"/>
    </row>
    <row r="609" ht="12.75" hidden="1">
      <c r="D609" s="505"/>
    </row>
    <row r="610" ht="12.75" customHeight="1" hidden="1">
      <c r="D610" s="505"/>
    </row>
    <row r="611" ht="12.75" customHeight="1" hidden="1">
      <c r="D611" s="505"/>
    </row>
    <row r="612" ht="12.75" customHeight="1" hidden="1">
      <c r="D612" s="505"/>
    </row>
    <row r="613" ht="12.75" customHeight="1" hidden="1">
      <c r="D613" s="505"/>
    </row>
    <row r="614" ht="12.75" customHeight="1" hidden="1">
      <c r="D614" s="505"/>
    </row>
    <row r="615" ht="12.75" customHeight="1" hidden="1">
      <c r="D615" s="505"/>
    </row>
    <row r="616" ht="12.75" customHeight="1" hidden="1">
      <c r="D616" s="505"/>
    </row>
    <row r="617" ht="12.75" customHeight="1" hidden="1">
      <c r="D617" s="505"/>
    </row>
    <row r="618" ht="12.75" customHeight="1" hidden="1">
      <c r="D618" s="505"/>
    </row>
    <row r="619" ht="12.75" customHeight="1" hidden="1">
      <c r="D619" s="505"/>
    </row>
    <row r="620" ht="12.75" customHeight="1" hidden="1">
      <c r="D620" s="505"/>
    </row>
    <row r="621" ht="12.75" customHeight="1" hidden="1">
      <c r="D621" s="505"/>
    </row>
    <row r="622" ht="12.75" customHeight="1" hidden="1">
      <c r="D622" s="505"/>
    </row>
    <row r="623" ht="12.75" customHeight="1" hidden="1">
      <c r="D623" s="505"/>
    </row>
    <row r="624" ht="12.75" customHeight="1" hidden="1">
      <c r="D624" s="505"/>
    </row>
    <row r="625" ht="12.75" customHeight="1" hidden="1">
      <c r="D625" s="505"/>
    </row>
    <row r="626" ht="12.75" customHeight="1" hidden="1">
      <c r="D626" s="505"/>
    </row>
    <row r="627" ht="12.75" customHeight="1" hidden="1">
      <c r="D627" s="505"/>
    </row>
    <row r="628" ht="12.75" customHeight="1" hidden="1">
      <c r="D628" s="505"/>
    </row>
    <row r="629" ht="12.75" customHeight="1" hidden="1">
      <c r="D629" s="505"/>
    </row>
    <row r="630" ht="12.75" customHeight="1" hidden="1">
      <c r="D630" s="505"/>
    </row>
    <row r="631" ht="12.75" customHeight="1" hidden="1">
      <c r="D631" s="505"/>
    </row>
    <row r="632" ht="12.75" customHeight="1" hidden="1">
      <c r="D632" s="505"/>
    </row>
    <row r="633" ht="12.75" customHeight="1" hidden="1">
      <c r="D633" s="505"/>
    </row>
    <row r="634" ht="12.75" customHeight="1" hidden="1">
      <c r="D634" s="505"/>
    </row>
    <row r="635" ht="12.75" customHeight="1" hidden="1">
      <c r="D635" s="505"/>
    </row>
    <row r="636" ht="12.75" customHeight="1" hidden="1">
      <c r="D636" s="505"/>
    </row>
    <row r="637" ht="12.75" customHeight="1" hidden="1">
      <c r="D637" s="505"/>
    </row>
    <row r="638" ht="12.75" customHeight="1" hidden="1">
      <c r="D638" s="505"/>
    </row>
    <row r="639" ht="12.75" customHeight="1" hidden="1">
      <c r="D639" s="505"/>
    </row>
    <row r="640" ht="12.75" customHeight="1" hidden="1">
      <c r="D640" s="505"/>
    </row>
    <row r="641" ht="12.75" customHeight="1" hidden="1">
      <c r="D641" s="505"/>
    </row>
    <row r="642" ht="12.75" customHeight="1" hidden="1">
      <c r="D642" s="505"/>
    </row>
    <row r="643" ht="12.75" customHeight="1" hidden="1">
      <c r="D643" s="505"/>
    </row>
    <row r="644" ht="12.75" customHeight="1" hidden="1">
      <c r="D644" s="505"/>
    </row>
    <row r="645" ht="12.75" customHeight="1" hidden="1">
      <c r="D645" s="505"/>
    </row>
    <row r="646" ht="12.75" customHeight="1" hidden="1">
      <c r="D646" s="505"/>
    </row>
    <row r="647" ht="12.75" customHeight="1" hidden="1">
      <c r="D647" s="505"/>
    </row>
    <row r="648" ht="12.75" customHeight="1" hidden="1">
      <c r="D648" s="505"/>
    </row>
    <row r="649" ht="12.75" customHeight="1" hidden="1">
      <c r="D649" s="505"/>
    </row>
    <row r="650" ht="12.75" customHeight="1" hidden="1">
      <c r="D650" s="505"/>
    </row>
    <row r="651" ht="12.75" customHeight="1" hidden="1">
      <c r="D651" s="505"/>
    </row>
    <row r="652" ht="12.75" customHeight="1" hidden="1">
      <c r="D652" s="505"/>
    </row>
    <row r="653" ht="12.75" customHeight="1" hidden="1">
      <c r="D653" s="505"/>
    </row>
    <row r="654" ht="12.75" customHeight="1" hidden="1">
      <c r="D654" s="505"/>
    </row>
    <row r="655" ht="12.75" customHeight="1" hidden="1">
      <c r="D655" s="505"/>
    </row>
    <row r="656" ht="12.75" customHeight="1" hidden="1">
      <c r="D656" s="505"/>
    </row>
    <row r="657" ht="12.75" customHeight="1" hidden="1">
      <c r="D657" s="505"/>
    </row>
    <row r="658" ht="12.75" customHeight="1" hidden="1">
      <c r="D658" s="505"/>
    </row>
    <row r="659" ht="12.75" customHeight="1" hidden="1">
      <c r="D659" s="505"/>
    </row>
    <row r="660" ht="12.75" customHeight="1" hidden="1">
      <c r="D660" s="505"/>
    </row>
    <row r="661" ht="12.75" customHeight="1" hidden="1">
      <c r="D661" s="505"/>
    </row>
    <row r="662" ht="12.75" customHeight="1" hidden="1">
      <c r="D662" s="505"/>
    </row>
    <row r="663" ht="12.75" customHeight="1" hidden="1">
      <c r="D663" s="505"/>
    </row>
    <row r="664" ht="12.75" customHeight="1" hidden="1">
      <c r="D664" s="505"/>
    </row>
    <row r="665" ht="12.75" customHeight="1" hidden="1">
      <c r="D665" s="505"/>
    </row>
    <row r="666" ht="12.75" customHeight="1" hidden="1">
      <c r="D666" s="505"/>
    </row>
    <row r="667" ht="12.75" customHeight="1" hidden="1">
      <c r="D667" s="505"/>
    </row>
    <row r="668" ht="12.75" customHeight="1" hidden="1">
      <c r="D668" s="505"/>
    </row>
    <row r="669" ht="12.75" customHeight="1" hidden="1">
      <c r="D669" s="505"/>
    </row>
    <row r="670" ht="12.75" customHeight="1" hidden="1">
      <c r="D670" s="505"/>
    </row>
    <row r="671" ht="12.75" customHeight="1" hidden="1">
      <c r="D671" s="505"/>
    </row>
    <row r="672" ht="12.75" customHeight="1" hidden="1">
      <c r="D672" s="505"/>
    </row>
    <row r="673" ht="12.75" customHeight="1" hidden="1">
      <c r="D673" s="505"/>
    </row>
    <row r="674" ht="12.75" customHeight="1" hidden="1">
      <c r="D674" s="505"/>
    </row>
    <row r="675" ht="12.75" customHeight="1" hidden="1">
      <c r="D675" s="505"/>
    </row>
    <row r="676" ht="12.75" customHeight="1" hidden="1">
      <c r="D676" s="505"/>
    </row>
    <row r="677" ht="12.75" customHeight="1" hidden="1">
      <c r="D677" s="505"/>
    </row>
    <row r="678" ht="12.75" customHeight="1" hidden="1">
      <c r="D678" s="505"/>
    </row>
    <row r="679" ht="12.75" customHeight="1" hidden="1">
      <c r="D679" s="505"/>
    </row>
    <row r="680" ht="12.75" customHeight="1" hidden="1">
      <c r="D680" s="505"/>
    </row>
    <row r="681" ht="12.75" customHeight="1" hidden="1">
      <c r="D681" s="505"/>
    </row>
    <row r="682" ht="12.75" customHeight="1" hidden="1">
      <c r="D682" s="505"/>
    </row>
    <row r="683" ht="12.75" customHeight="1" hidden="1">
      <c r="D683" s="505"/>
    </row>
    <row r="684" ht="12.75" customHeight="1" hidden="1">
      <c r="D684" s="505"/>
    </row>
    <row r="685" ht="12.75" customHeight="1" hidden="1">
      <c r="D685" s="505"/>
    </row>
    <row r="686" ht="12.75" customHeight="1" hidden="1">
      <c r="D686" s="505"/>
    </row>
    <row r="687" ht="12.75" customHeight="1" hidden="1">
      <c r="D687" s="505"/>
    </row>
    <row r="688" ht="12.75" customHeight="1" hidden="1">
      <c r="D688" s="505"/>
    </row>
    <row r="689" ht="12.75" customHeight="1" hidden="1">
      <c r="D689" s="505"/>
    </row>
    <row r="690" ht="12.75" customHeight="1" hidden="1">
      <c r="D690" s="505"/>
    </row>
    <row r="691" ht="12.75" customHeight="1" hidden="1">
      <c r="D691" s="505"/>
    </row>
    <row r="692" ht="12.75" customHeight="1" hidden="1">
      <c r="D692" s="505"/>
    </row>
    <row r="693" ht="12.75" customHeight="1" hidden="1">
      <c r="D693" s="505"/>
    </row>
    <row r="694" ht="12.75" customHeight="1" hidden="1">
      <c r="D694" s="505"/>
    </row>
    <row r="695" ht="12.75" customHeight="1" hidden="1">
      <c r="D695" s="505"/>
    </row>
    <row r="696" ht="12.75" customHeight="1" hidden="1">
      <c r="D696" s="505"/>
    </row>
    <row r="697" ht="12.75" customHeight="1" hidden="1">
      <c r="D697" s="505"/>
    </row>
    <row r="698" ht="12.75" customHeight="1" hidden="1">
      <c r="D698" s="505"/>
    </row>
    <row r="699" ht="12.75" customHeight="1" hidden="1">
      <c r="D699" s="505"/>
    </row>
    <row r="700" ht="12.75" customHeight="1" hidden="1">
      <c r="D700" s="505"/>
    </row>
    <row r="701" ht="12.75" customHeight="1" hidden="1">
      <c r="D701" s="505"/>
    </row>
    <row r="702" ht="12.75" customHeight="1" hidden="1">
      <c r="D702" s="505"/>
    </row>
    <row r="703" ht="12.75" customHeight="1" hidden="1">
      <c r="D703" s="505"/>
    </row>
    <row r="704" ht="12.75" customHeight="1" hidden="1">
      <c r="D704" s="505"/>
    </row>
    <row r="705" ht="12.75" customHeight="1" hidden="1">
      <c r="D705" s="505"/>
    </row>
    <row r="706" ht="12.75" customHeight="1" hidden="1">
      <c r="D706" s="505"/>
    </row>
    <row r="707" ht="12.75" customHeight="1" hidden="1">
      <c r="D707" s="505"/>
    </row>
    <row r="708" ht="12.75" customHeight="1" hidden="1">
      <c r="D708" s="505"/>
    </row>
    <row r="709" ht="12.75" customHeight="1" hidden="1">
      <c r="D709" s="505"/>
    </row>
    <row r="710" ht="12.75" customHeight="1" hidden="1">
      <c r="D710" s="505"/>
    </row>
    <row r="711" ht="12.75" customHeight="1" hidden="1">
      <c r="D711" s="505"/>
    </row>
    <row r="712" ht="12.75" customHeight="1" hidden="1">
      <c r="D712" s="505"/>
    </row>
    <row r="713" ht="12.75" customHeight="1" hidden="1">
      <c r="D713" s="505"/>
    </row>
    <row r="714" ht="12.75" customHeight="1" hidden="1">
      <c r="D714" s="505"/>
    </row>
    <row r="715" ht="12.75" customHeight="1" hidden="1">
      <c r="D715" s="505"/>
    </row>
    <row r="716" ht="12.75" customHeight="1" hidden="1">
      <c r="D716" s="505"/>
    </row>
    <row r="717" ht="12.75" customHeight="1" hidden="1">
      <c r="D717" s="505"/>
    </row>
    <row r="718" ht="12.75" customHeight="1" hidden="1">
      <c r="D718" s="505"/>
    </row>
    <row r="719" ht="12.75" customHeight="1" hidden="1">
      <c r="D719" s="505"/>
    </row>
    <row r="720" ht="12.75" customHeight="1" hidden="1">
      <c r="D720" s="505"/>
    </row>
    <row r="721" ht="12.75" customHeight="1" hidden="1">
      <c r="D721" s="505"/>
    </row>
    <row r="722" ht="12.75" customHeight="1" hidden="1">
      <c r="D722" s="505"/>
    </row>
    <row r="723" ht="12.75" customHeight="1" hidden="1">
      <c r="D723" s="505"/>
    </row>
    <row r="724" ht="12.75" customHeight="1" hidden="1">
      <c r="D724" s="505"/>
    </row>
    <row r="725" ht="12.75" customHeight="1" hidden="1">
      <c r="D725" s="505"/>
    </row>
    <row r="726" ht="12.75" customHeight="1" hidden="1">
      <c r="D726" s="505"/>
    </row>
    <row r="727" ht="12.75" customHeight="1" hidden="1">
      <c r="D727" s="505"/>
    </row>
    <row r="728" ht="12.75" customHeight="1" hidden="1">
      <c r="D728" s="505"/>
    </row>
    <row r="729" ht="12.75" customHeight="1" hidden="1">
      <c r="D729" s="505"/>
    </row>
    <row r="730" ht="12.75" customHeight="1" hidden="1">
      <c r="D730" s="505"/>
    </row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</sheetData>
  <sheetProtection/>
  <mergeCells count="106">
    <mergeCell ref="D208:G208"/>
    <mergeCell ref="H208:I208"/>
    <mergeCell ref="J208:K208"/>
    <mergeCell ref="C217:L217"/>
    <mergeCell ref="D206:G206"/>
    <mergeCell ref="H206:I206"/>
    <mergeCell ref="J206:K206"/>
    <mergeCell ref="D207:G207"/>
    <mergeCell ref="H207:I207"/>
    <mergeCell ref="J207:K207"/>
    <mergeCell ref="D204:G204"/>
    <mergeCell ref="H204:I204"/>
    <mergeCell ref="J204:K204"/>
    <mergeCell ref="D205:G205"/>
    <mergeCell ref="H205:I205"/>
    <mergeCell ref="J205:K205"/>
    <mergeCell ref="D191:D192"/>
    <mergeCell ref="D193:D194"/>
    <mergeCell ref="C197:L197"/>
    <mergeCell ref="C198:K199"/>
    <mergeCell ref="C200:M200"/>
    <mergeCell ref="D203:G203"/>
    <mergeCell ref="H203:I203"/>
    <mergeCell ref="J203:K203"/>
    <mergeCell ref="D178:D179"/>
    <mergeCell ref="D180:D181"/>
    <mergeCell ref="D182:D183"/>
    <mergeCell ref="D184:D185"/>
    <mergeCell ref="D187:D188"/>
    <mergeCell ref="D189:D190"/>
    <mergeCell ref="D164:D165"/>
    <mergeCell ref="D168:D169"/>
    <mergeCell ref="D170:D171"/>
    <mergeCell ref="D172:D173"/>
    <mergeCell ref="D174:D175"/>
    <mergeCell ref="D176:D177"/>
    <mergeCell ref="D152:D153"/>
    <mergeCell ref="D154:D155"/>
    <mergeCell ref="D156:D157"/>
    <mergeCell ref="D158:D159"/>
    <mergeCell ref="D160:D161"/>
    <mergeCell ref="D162:D163"/>
    <mergeCell ref="D139:D140"/>
    <mergeCell ref="D141:D142"/>
    <mergeCell ref="D143:D144"/>
    <mergeCell ref="D145:D146"/>
    <mergeCell ref="D147:D148"/>
    <mergeCell ref="D149:D150"/>
    <mergeCell ref="D124:D125"/>
    <mergeCell ref="D126:D127"/>
    <mergeCell ref="D128:D129"/>
    <mergeCell ref="D130:D131"/>
    <mergeCell ref="D134:D135"/>
    <mergeCell ref="D137:D138"/>
    <mergeCell ref="D112:D113"/>
    <mergeCell ref="D114:D115"/>
    <mergeCell ref="D116:D117"/>
    <mergeCell ref="D118:D119"/>
    <mergeCell ref="D120:D121"/>
    <mergeCell ref="D122:D123"/>
    <mergeCell ref="D97:D98"/>
    <mergeCell ref="D99:D100"/>
    <mergeCell ref="D101:D102"/>
    <mergeCell ref="D104:D105"/>
    <mergeCell ref="D108:D109"/>
    <mergeCell ref="D110:D111"/>
    <mergeCell ref="D82:D83"/>
    <mergeCell ref="D84:D85"/>
    <mergeCell ref="D86:D87"/>
    <mergeCell ref="D88:D89"/>
    <mergeCell ref="D91:D92"/>
    <mergeCell ref="D94:D95"/>
    <mergeCell ref="D68:D69"/>
    <mergeCell ref="D70:D71"/>
    <mergeCell ref="D73:D74"/>
    <mergeCell ref="D75:D76"/>
    <mergeCell ref="D77:D78"/>
    <mergeCell ref="D80:D81"/>
    <mergeCell ref="D54:D55"/>
    <mergeCell ref="D56:D57"/>
    <mergeCell ref="D59:D60"/>
    <mergeCell ref="D61:D62"/>
    <mergeCell ref="D63:D64"/>
    <mergeCell ref="D65:D66"/>
    <mergeCell ref="D42:D43"/>
    <mergeCell ref="D44:D45"/>
    <mergeCell ref="D46:D47"/>
    <mergeCell ref="D48:D49"/>
    <mergeCell ref="D50:D51"/>
    <mergeCell ref="D52:D53"/>
    <mergeCell ref="D15:K15"/>
    <mergeCell ref="D20:E20"/>
    <mergeCell ref="D21:D22"/>
    <mergeCell ref="D23:D24"/>
    <mergeCell ref="D25:D26"/>
    <mergeCell ref="D27:D28"/>
    <mergeCell ref="C6:L6"/>
    <mergeCell ref="C7:L7"/>
    <mergeCell ref="F11:L11"/>
    <mergeCell ref="D13:D14"/>
    <mergeCell ref="E13:E14"/>
    <mergeCell ref="F13:F14"/>
    <mergeCell ref="G13:G14"/>
    <mergeCell ref="H13:H14"/>
    <mergeCell ref="I13:I14"/>
    <mergeCell ref="J13:K13"/>
  </mergeCells>
  <hyperlinks>
    <hyperlink ref="D8" location="Меню!A1" display="Вернуться назад"/>
  </hyperlinks>
  <printOptions/>
  <pageMargins left="0.7" right="0.7" top="0.75" bottom="0.75" header="0.3" footer="0.3"/>
  <pageSetup horizontalDpi="600" verticalDpi="600" orientation="portrait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3">
    <tabColor rgb="FFC49EFC"/>
    <pageSetUpPr fitToPage="1"/>
  </sheetPr>
  <dimension ref="A1:Q157"/>
  <sheetViews>
    <sheetView showGridLines="0" view="pageBreakPreview" zoomScale="90" zoomScaleSheetLayoutView="90" zoomScalePageLayoutView="0" workbookViewId="0" topLeftCell="A1">
      <pane ySplit="14" topLeftCell="A15" activePane="bottomLeft" state="frozen"/>
      <selection pane="topLeft" activeCell="D13" sqref="D13:D14"/>
      <selection pane="bottomLeft" activeCell="D13" sqref="D13:D14"/>
    </sheetView>
  </sheetViews>
  <sheetFormatPr defaultColWidth="0" defaultRowHeight="0" customHeight="1" zeroHeight="1"/>
  <cols>
    <col min="1" max="3" width="1.28515625" style="9" customWidth="1"/>
    <col min="4" max="4" width="31.28125" style="5" customWidth="1"/>
    <col min="5" max="5" width="23.00390625" style="4" customWidth="1"/>
    <col min="6" max="6" width="35.00390625" style="9" customWidth="1"/>
    <col min="7" max="9" width="12.140625" style="9" customWidth="1"/>
    <col min="10" max="10" width="21.7109375" style="4" customWidth="1"/>
    <col min="11" max="11" width="21.7109375" style="9" customWidth="1"/>
    <col min="12" max="14" width="1.28515625" style="9" customWidth="1"/>
    <col min="15" max="15" width="1.421875" style="9" customWidth="1"/>
    <col min="16" max="16384" width="0" style="9" hidden="1" customWidth="1"/>
  </cols>
  <sheetData>
    <row r="1" spans="1:9" s="2" customFormat="1" ht="8.25" customHeight="1">
      <c r="A1" s="1" t="str">
        <f>Путь_сравнения</f>
        <v>L:\!Прайсы\1 Москва\1 Розничные\Кирпич клинкерный и ручной формовки.xls</v>
      </c>
      <c r="B1" s="2">
        <f>номер_страницы_5</f>
        <v>5</v>
      </c>
      <c r="C1" s="2" t="str">
        <f>Путь_сохранения_4</f>
        <v>L:\!Прайсы\temp\Архив прайс-листов\1 Москва Архив\1 Розничные\Кирпич CRH Польша архив.xls</v>
      </c>
      <c r="F1" s="3"/>
      <c r="G1" s="3"/>
      <c r="H1" s="3"/>
      <c r="I1" s="3"/>
    </row>
    <row r="2" spans="1:13" s="2" customFormat="1" ht="8.25" customHeight="1">
      <c r="A2" s="1"/>
      <c r="B2" s="4"/>
      <c r="C2" s="4"/>
      <c r="D2" s="5"/>
      <c r="E2" s="7"/>
      <c r="F2" s="8"/>
      <c r="G2" s="8"/>
      <c r="H2" s="8"/>
      <c r="I2" s="8"/>
      <c r="J2" s="4"/>
      <c r="K2" s="4"/>
      <c r="L2" s="4"/>
      <c r="M2" s="4"/>
    </row>
    <row r="3" spans="1:15" ht="12" customHeight="1">
      <c r="A3" s="1"/>
      <c r="E3" s="7"/>
      <c r="F3" s="10"/>
      <c r="G3" s="10"/>
      <c r="H3" s="10"/>
      <c r="I3" s="10"/>
      <c r="N3" s="11"/>
      <c r="O3" s="2"/>
    </row>
    <row r="4" spans="1:15" ht="55.5" customHeight="1">
      <c r="A4" s="1"/>
      <c r="E4" s="7"/>
      <c r="F4" s="10"/>
      <c r="G4" s="10"/>
      <c r="H4" s="10"/>
      <c r="I4" s="10"/>
      <c r="N4" s="11"/>
      <c r="O4" s="2"/>
    </row>
    <row r="5" spans="1:15" ht="2.25" customHeight="1">
      <c r="A5" s="1"/>
      <c r="D5" s="457"/>
      <c r="E5" s="9"/>
      <c r="J5" s="9"/>
      <c r="N5" s="11"/>
      <c r="O5" s="2"/>
    </row>
    <row r="6" spans="1:15" ht="36" customHeight="1">
      <c r="A6" s="1"/>
      <c r="C6" s="669" t="s">
        <v>440</v>
      </c>
      <c r="D6" s="669"/>
      <c r="E6" s="669"/>
      <c r="F6" s="669"/>
      <c r="G6" s="669"/>
      <c r="H6" s="669"/>
      <c r="I6" s="669"/>
      <c r="J6" s="669"/>
      <c r="K6" s="669"/>
      <c r="L6" s="669"/>
      <c r="N6" s="11"/>
      <c r="O6" s="2"/>
    </row>
    <row r="7" spans="1:15" ht="36" customHeight="1" hidden="1">
      <c r="A7" s="1"/>
      <c r="C7" s="12"/>
      <c r="D7" s="12"/>
      <c r="E7" s="12"/>
      <c r="F7" s="12"/>
      <c r="G7" s="12"/>
      <c r="H7" s="12"/>
      <c r="I7" s="12"/>
      <c r="J7" s="12"/>
      <c r="K7" s="12"/>
      <c r="L7" s="12"/>
      <c r="N7" s="11"/>
      <c r="O7" s="2"/>
    </row>
    <row r="8" spans="1:15" ht="36" customHeight="1" hidden="1">
      <c r="A8" s="1"/>
      <c r="C8" s="12"/>
      <c r="D8" s="12"/>
      <c r="E8" s="12"/>
      <c r="F8" s="12"/>
      <c r="G8" s="12"/>
      <c r="H8" s="12"/>
      <c r="I8" s="12"/>
      <c r="J8" s="12"/>
      <c r="K8" s="12"/>
      <c r="L8" s="12"/>
      <c r="N8" s="11"/>
      <c r="O8" s="2"/>
    </row>
    <row r="9" spans="1:15" ht="36" customHeight="1" hidden="1">
      <c r="A9" s="1"/>
      <c r="C9" s="12"/>
      <c r="D9" s="12"/>
      <c r="E9" s="12"/>
      <c r="F9" s="12"/>
      <c r="G9" s="12"/>
      <c r="H9" s="12"/>
      <c r="I9" s="12"/>
      <c r="J9" s="12"/>
      <c r="K9" s="12"/>
      <c r="L9" s="12"/>
      <c r="N9" s="11"/>
      <c r="O9" s="2"/>
    </row>
    <row r="10" spans="1:15" ht="15" customHeight="1">
      <c r="A10" s="1"/>
      <c r="C10" s="12"/>
      <c r="D10" s="14" t="s">
        <v>1</v>
      </c>
      <c r="E10" s="12"/>
      <c r="F10" s="12"/>
      <c r="G10" s="12"/>
      <c r="H10" s="12"/>
      <c r="I10" s="12"/>
      <c r="J10" s="12"/>
      <c r="K10" s="12"/>
      <c r="L10" s="12"/>
      <c r="N10" s="11"/>
      <c r="O10" s="2"/>
    </row>
    <row r="11" spans="1:15" s="131" customFormat="1" ht="12.75" customHeight="1" thickBot="1">
      <c r="A11" s="1"/>
      <c r="B11" s="167"/>
      <c r="C11" s="15" t="s">
        <v>47</v>
      </c>
      <c r="D11" s="16">
        <f>ДатаЦРХПольша</f>
        <v>43512</v>
      </c>
      <c r="E11" s="7"/>
      <c r="F11" s="671" t="s">
        <v>2</v>
      </c>
      <c r="G11" s="671"/>
      <c r="H11" s="671"/>
      <c r="I11" s="671"/>
      <c r="J11" s="671"/>
      <c r="K11" s="671"/>
      <c r="L11" s="671"/>
      <c r="N11" s="420"/>
      <c r="O11" s="421"/>
    </row>
    <row r="12" spans="1:15" ht="7.5" customHeight="1" thickTop="1">
      <c r="A12" s="1"/>
      <c r="C12" s="19"/>
      <c r="D12" s="20"/>
      <c r="E12" s="22"/>
      <c r="F12" s="23"/>
      <c r="G12" s="23"/>
      <c r="H12" s="23"/>
      <c r="I12" s="23"/>
      <c r="J12" s="458"/>
      <c r="K12" s="26"/>
      <c r="L12" s="27"/>
      <c r="N12" s="11"/>
      <c r="O12" s="2"/>
    </row>
    <row r="13" spans="1:15" s="37" customFormat="1" ht="13.5" customHeight="1">
      <c r="A13" s="36"/>
      <c r="C13" s="28"/>
      <c r="D13" s="672" t="s">
        <v>4</v>
      </c>
      <c r="E13" s="674" t="s">
        <v>5</v>
      </c>
      <c r="F13" s="676" t="s">
        <v>6</v>
      </c>
      <c r="G13" s="678" t="s">
        <v>7</v>
      </c>
      <c r="H13" s="680" t="s">
        <v>8</v>
      </c>
      <c r="I13" s="682" t="s">
        <v>9</v>
      </c>
      <c r="J13" s="684" t="s">
        <v>10</v>
      </c>
      <c r="K13" s="684"/>
      <c r="L13" s="29"/>
      <c r="N13" s="47"/>
      <c r="O13" s="48"/>
    </row>
    <row r="14" spans="1:15" s="37" customFormat="1" ht="13.5" customHeight="1">
      <c r="A14" s="36"/>
      <c r="C14" s="28"/>
      <c r="D14" s="805"/>
      <c r="E14" s="675"/>
      <c r="F14" s="677"/>
      <c r="G14" s="679"/>
      <c r="H14" s="681"/>
      <c r="I14" s="683"/>
      <c r="J14" s="459" t="s">
        <v>11</v>
      </c>
      <c r="K14" s="32" t="s">
        <v>12</v>
      </c>
      <c r="L14" s="29"/>
      <c r="N14" s="47"/>
      <c r="O14" s="48"/>
    </row>
    <row r="15" spans="1:15" s="167" customFormat="1" ht="15.75" customHeight="1">
      <c r="A15" s="36"/>
      <c r="C15" s="460"/>
      <c r="D15" s="461" t="s">
        <v>441</v>
      </c>
      <c r="E15" s="462"/>
      <c r="F15" s="462"/>
      <c r="G15" s="462"/>
      <c r="H15" s="462"/>
      <c r="I15" s="462"/>
      <c r="J15" s="462"/>
      <c r="K15" s="462"/>
      <c r="L15" s="463"/>
      <c r="N15" s="399"/>
      <c r="O15" s="400"/>
    </row>
    <row r="16" spans="1:15" s="167" customFormat="1" ht="13.5" customHeight="1" hidden="1">
      <c r="A16" s="36"/>
      <c r="C16" s="460"/>
      <c r="D16" s="806" t="s">
        <v>442</v>
      </c>
      <c r="E16" s="465" t="s">
        <v>443</v>
      </c>
      <c r="F16" s="57" t="s">
        <v>22</v>
      </c>
      <c r="G16" s="466">
        <v>3</v>
      </c>
      <c r="H16" s="416">
        <v>50</v>
      </c>
      <c r="I16" s="70">
        <v>424</v>
      </c>
      <c r="J16" s="466" t="e">
        <f>GetThePrice(Кирпич_CRH_RF_250_120_65_мм_структурированный_Arizona,Дата,"Москва",Розничная)</f>
        <v>#NAME?</v>
      </c>
      <c r="K16" s="45" t="e">
        <f>J16*H16</f>
        <v>#NAME?</v>
      </c>
      <c r="L16" s="463"/>
      <c r="N16" s="47"/>
      <c r="O16" s="48"/>
    </row>
    <row r="17" spans="1:15" s="167" customFormat="1" ht="13.5" customHeight="1" hidden="1">
      <c r="A17" s="36"/>
      <c r="C17" s="460"/>
      <c r="D17" s="807"/>
      <c r="E17" s="465" t="s">
        <v>443</v>
      </c>
      <c r="F17" s="57" t="s">
        <v>444</v>
      </c>
      <c r="G17" s="466">
        <v>4.1</v>
      </c>
      <c r="H17" s="416">
        <v>50</v>
      </c>
      <c r="I17" s="70">
        <v>424</v>
      </c>
      <c r="J17" s="466" t="e">
        <f>GetThePrice(Кирпич_полнотелый_CRH_RF_250_120_65_мм_структурированный_Arizona,Дата,"Москва",Розничная)</f>
        <v>#NAME?</v>
      </c>
      <c r="K17" s="45" t="e">
        <f>J17*H17</f>
        <v>#NAME?</v>
      </c>
      <c r="L17" s="463"/>
      <c r="N17" s="47"/>
      <c r="O17" s="48"/>
    </row>
    <row r="18" spans="1:15" s="167" customFormat="1" ht="13.5" customHeight="1">
      <c r="A18" s="36"/>
      <c r="C18" s="460"/>
      <c r="D18" s="806" t="s">
        <v>445</v>
      </c>
      <c r="E18" s="465" t="s">
        <v>443</v>
      </c>
      <c r="F18" s="57" t="s">
        <v>17</v>
      </c>
      <c r="G18" s="466" t="e">
        <f>GetTheUnit(Кирпич_CRH_RF_250_120_65_мм_гладкий_Sahara,166,2)</f>
        <v>#NAME?</v>
      </c>
      <c r="H18" s="43" t="e">
        <f>GetTheUnit(Кирпич_CRH_RF_250_120_65_мм_гладкий_Sahara,998,1)</f>
        <v>#NAME?</v>
      </c>
      <c r="I18" s="43" t="e">
        <f>GetTheUnit(Кирпич_CRH_RF_250_120_65_мм_гладкий_Sahara,5,1)</f>
        <v>#NAME?</v>
      </c>
      <c r="J18" s="466" t="e">
        <f>курс_евро*GetThePrice(Кирпич_CRH_RF_250_120_65_мм_гладкий_Sahara,Дата,"Москва",Розничная)</f>
        <v>#NAME?</v>
      </c>
      <c r="K18" s="45" t="e">
        <f>J18*H18</f>
        <v>#NAME?</v>
      </c>
      <c r="L18" s="463"/>
      <c r="N18" s="47"/>
      <c r="O18" s="48"/>
    </row>
    <row r="19" spans="1:15" s="167" customFormat="1" ht="13.5" customHeight="1">
      <c r="A19" s="36"/>
      <c r="C19" s="460"/>
      <c r="D19" s="807"/>
      <c r="E19" s="30" t="s">
        <v>443</v>
      </c>
      <c r="F19" s="57" t="s">
        <v>446</v>
      </c>
      <c r="G19" s="466" t="e">
        <f>GetTheUnit(Кирпич_пятищелевой_CRH_RF_250_120_65_мм_гладкий_Sahara,166,2)</f>
        <v>#NAME?</v>
      </c>
      <c r="H19" s="43" t="e">
        <f>GetTheUnit(Кирпич_пятищелевой_CRH_RF_250_120_65_мм_гладкий_Sahara,998,1)</f>
        <v>#NAME?</v>
      </c>
      <c r="I19" s="43" t="e">
        <f>GetTheUnit(Кирпич_пятищелевой_CRH_RF_250_120_65_мм_гладкий_Sahara,5,1)</f>
        <v>#NAME?</v>
      </c>
      <c r="J19" s="466" t="e">
        <f>курс_евро*GetThePrice(Кирпич_пятищелевой_CRH_RF_250_120_65_мм_гладкий_Sahara,Дата,"Москва",Розничная)</f>
        <v>#NAME?</v>
      </c>
      <c r="K19" s="45" t="e">
        <f>J19*H19</f>
        <v>#NAME?</v>
      </c>
      <c r="L19" s="463"/>
      <c r="N19" s="47"/>
      <c r="O19" s="48"/>
    </row>
    <row r="20" spans="1:15" s="167" customFormat="1" ht="13.5" customHeight="1">
      <c r="A20" s="36"/>
      <c r="C20" s="460"/>
      <c r="D20" s="807"/>
      <c r="E20" s="30" t="s">
        <v>443</v>
      </c>
      <c r="F20" s="57" t="s">
        <v>447</v>
      </c>
      <c r="G20" s="466" t="e">
        <f>GetTheUnit(Кирпич_полнотелый_CRH_RF_250_120_65_мм_гладкий_Sahara,166,2)</f>
        <v>#NAME?</v>
      </c>
      <c r="H20" s="43" t="e">
        <f>GetTheUnit(Кирпич_полнотелый_CRH_RF_250_120_65_мм_гладкий_Sahara,998,1)</f>
        <v>#NAME?</v>
      </c>
      <c r="I20" s="43" t="e">
        <f>GetTheUnit(Кирпич_полнотелый_CRH_RF_250_120_65_мм_гладкий_Sahara,5,1)</f>
        <v>#NAME?</v>
      </c>
      <c r="J20" s="466" t="e">
        <f>курс_евро*GetThePrice(Кирпич_полнотелый_CRH_RF_250_120_65_мм_гладкий_Sahara,Дата,"Москва",Розничная)</f>
        <v>#NAME?</v>
      </c>
      <c r="K20" s="45" t="e">
        <f aca="true" t="shared" si="0" ref="K20:K45">J20*H20</f>
        <v>#NAME?</v>
      </c>
      <c r="L20" s="463"/>
      <c r="N20" s="47"/>
      <c r="O20" s="48"/>
    </row>
    <row r="21" spans="1:15" s="167" customFormat="1" ht="13.5" customHeight="1">
      <c r="A21" s="36"/>
      <c r="C21" s="460"/>
      <c r="D21" s="808"/>
      <c r="E21" s="30" t="s">
        <v>448</v>
      </c>
      <c r="F21" s="57" t="s">
        <v>17</v>
      </c>
      <c r="G21" s="466" t="e">
        <f>GetTheUnit(Кирпич_CRH_Half_250_55_65_мм_гладкий_Sahara,166,2)</f>
        <v>#NAME?</v>
      </c>
      <c r="H21" s="43" t="e">
        <f>GetTheUnit(Кирпич_CRH_Half_250_55_65_мм_гладкий_Sahara,998,1)</f>
        <v>#NAME?</v>
      </c>
      <c r="I21" s="43" t="e">
        <f>GetTheUnit(Кирпич_CRH_Half_250_55_65_мм_гладкий_Sahara,5,1)</f>
        <v>#NAME?</v>
      </c>
      <c r="J21" s="466" t="e">
        <f>курс_евро*GetThePrice(Кирпич_CRH_Half_250_55_65_мм_гладкий_Sahara,Дата,"Москва",Розничная)</f>
        <v>#NAME?</v>
      </c>
      <c r="K21" s="45" t="e">
        <f t="shared" si="0"/>
        <v>#NAME?</v>
      </c>
      <c r="L21" s="463"/>
      <c r="N21" s="47"/>
      <c r="O21" s="48"/>
    </row>
    <row r="22" spans="1:15" s="167" customFormat="1" ht="13.5" customHeight="1">
      <c r="A22" s="36"/>
      <c r="C22" s="460"/>
      <c r="D22" s="806" t="s">
        <v>449</v>
      </c>
      <c r="E22" s="465" t="s">
        <v>443</v>
      </c>
      <c r="F22" s="57" t="s">
        <v>17</v>
      </c>
      <c r="G22" s="466" t="e">
        <f>GetTheUnit(Кирпич_CRH_RF_250_120_65_мм_гладкий_Sahara_Ton,166,2)</f>
        <v>#NAME?</v>
      </c>
      <c r="H22" s="43" t="e">
        <f>GetTheUnit(Кирпич_CRH_RF_250_120_65_мм_гладкий_Sahara_Ton,998,1)</f>
        <v>#NAME?</v>
      </c>
      <c r="I22" s="43" t="e">
        <f>GetTheUnit(Кирпич_CRH_RF_250_120_65_мм_гладкий_Sahara_Ton,5,1)</f>
        <v>#NAME?</v>
      </c>
      <c r="J22" s="466" t="e">
        <f>курс_евро*GetThePrice(Кирпич_CRH_RF_250_120_65_мм_гладкий_Sahara_Ton,Дата,"Москва",Розничная)</f>
        <v>#NAME?</v>
      </c>
      <c r="K22" s="45" t="e">
        <f t="shared" si="0"/>
        <v>#NAME?</v>
      </c>
      <c r="L22" s="463"/>
      <c r="N22" s="47"/>
      <c r="O22" s="48"/>
    </row>
    <row r="23" spans="1:15" s="167" customFormat="1" ht="13.5" customHeight="1">
      <c r="A23" s="36"/>
      <c r="C23" s="460"/>
      <c r="D23" s="807"/>
      <c r="E23" s="30" t="s">
        <v>443</v>
      </c>
      <c r="F23" s="57" t="s">
        <v>446</v>
      </c>
      <c r="G23" s="466" t="e">
        <f>GetTheUnit(Кирпич_пятищелевой_CRH_RF_250x120x65_мм_гладкий_Sahara_Ton,166,2)</f>
        <v>#NAME?</v>
      </c>
      <c r="H23" s="43" t="e">
        <f>GetTheUnit(Кирпич_пятищелевой_CRH_RF_250x120x65_мм_гладкий_Sahara_Ton,998,1)</f>
        <v>#NAME?</v>
      </c>
      <c r="I23" s="43" t="e">
        <f>GetTheUnit(Кирпич_пятищелевой_CRH_RF_250x120x65_мм_гладкий_Sahara_Ton,5,1)</f>
        <v>#NAME?</v>
      </c>
      <c r="J23" s="466" t="e">
        <f>курс_евро*GetThePrice(Кирпич_пятищелевой_CRH_RF_250x120x65_мм_гладкий_Sahara_Ton,Дата,"Москва",Розничная)</f>
        <v>#NAME?</v>
      </c>
      <c r="K23" s="45" t="e">
        <f t="shared" si="0"/>
        <v>#NAME?</v>
      </c>
      <c r="L23" s="463"/>
      <c r="N23" s="47"/>
      <c r="O23" s="48"/>
    </row>
    <row r="24" spans="1:15" s="167" customFormat="1" ht="13.5" customHeight="1">
      <c r="A24" s="36"/>
      <c r="C24" s="460"/>
      <c r="D24" s="807"/>
      <c r="E24" s="465" t="s">
        <v>443</v>
      </c>
      <c r="F24" s="57" t="s">
        <v>447</v>
      </c>
      <c r="G24" s="466" t="e">
        <f>GetTheUnit(Кирпич_полнотелый_CRH_RF_250_120_65_мм_гладкий_Sahara_Ton,166,2)</f>
        <v>#NAME?</v>
      </c>
      <c r="H24" s="43" t="e">
        <f>GetTheUnit(Кирпич_полнотелый_CRH_RF_250_120_65_мм_гладкий_Sahara_Ton,998,1)</f>
        <v>#NAME?</v>
      </c>
      <c r="I24" s="43" t="e">
        <f>GetTheUnit(Кирпич_полнотелый_CRH_RF_250_120_65_мм_гладкий_Sahara_Ton,5,1)</f>
        <v>#NAME?</v>
      </c>
      <c r="J24" s="466" t="e">
        <f>курс_евро*GetThePrice(Кирпич_полнотелый_CRH_RF_250_120_65_мм_гладкий_Sahara_Ton,Дата,"Москва",Розничная)</f>
        <v>#NAME?</v>
      </c>
      <c r="K24" s="45" t="e">
        <f t="shared" si="0"/>
        <v>#NAME?</v>
      </c>
      <c r="L24" s="463"/>
      <c r="N24" s="47"/>
      <c r="O24" s="48"/>
    </row>
    <row r="25" spans="1:15" s="167" customFormat="1" ht="13.5" customHeight="1">
      <c r="A25" s="36"/>
      <c r="C25" s="460"/>
      <c r="D25" s="808"/>
      <c r="E25" s="30" t="s">
        <v>448</v>
      </c>
      <c r="F25" s="57" t="s">
        <v>17</v>
      </c>
      <c r="G25" s="466" t="e">
        <f>GetTheUnit(Кирпич_CRH_Half_250_55_65_мм_гладкий_Sahara_Ton,166,2)</f>
        <v>#NAME?</v>
      </c>
      <c r="H25" s="43" t="e">
        <f>GetTheUnit(Кирпич_CRH_Half_250_55_65_мм_гладкий_Sahara_Ton,998,1)</f>
        <v>#NAME?</v>
      </c>
      <c r="I25" s="43" t="e">
        <f>GetTheUnit(Кирпич_CRH_Half_250_55_65_мм_гладкий_Sahara_Ton,5,1)</f>
        <v>#NAME?</v>
      </c>
      <c r="J25" s="466" t="e">
        <f>курс_евро*GetThePrice(Кирпич_CRH_Half_250_55_65_мм_гладкий_Sahara_Ton,Дата,"Москва",Розничная)</f>
        <v>#NAME?</v>
      </c>
      <c r="K25" s="45" t="e">
        <f t="shared" si="0"/>
        <v>#NAME?</v>
      </c>
      <c r="L25" s="463"/>
      <c r="N25" s="47"/>
      <c r="O25" s="48"/>
    </row>
    <row r="26" spans="1:15" s="167" customFormat="1" ht="13.5" customHeight="1" hidden="1">
      <c r="A26" s="36"/>
      <c r="C26" s="460"/>
      <c r="D26" s="806" t="s">
        <v>450</v>
      </c>
      <c r="E26" s="465" t="s">
        <v>443</v>
      </c>
      <c r="F26" s="57" t="s">
        <v>17</v>
      </c>
      <c r="G26" s="466" t="e">
        <f>GetTheUnit(Кирпич_CRH_RF_250_120_65_мм_гладкий_Sahara_Cieniowana,166,2)</f>
        <v>#NAME?</v>
      </c>
      <c r="H26" s="43" t="e">
        <f>GetTheUnit(Кирпич_CRH_RF_250_120_65_мм_гладкий_Sahara_Cieniowana,998,1)</f>
        <v>#NAME?</v>
      </c>
      <c r="I26" s="43" t="e">
        <f>GetTheUnit(Кирпич_CRH_RF_250_120_65_мм_гладкий_Sahara_Cieniowana,5,1)</f>
        <v>#NAME?</v>
      </c>
      <c r="J26" s="466" t="e">
        <f>курс_евро*GetThePrice(Кирпич_CRH_RF_250_120_65_мм_гладкий_Sahara_Cieniowana,Дата,"Москва",Розничная)</f>
        <v>#NAME?</v>
      </c>
      <c r="K26" s="45" t="e">
        <f t="shared" si="0"/>
        <v>#NAME?</v>
      </c>
      <c r="L26" s="463"/>
      <c r="N26" s="47"/>
      <c r="O26" s="48"/>
    </row>
    <row r="27" spans="1:15" s="167" customFormat="1" ht="13.5" customHeight="1" hidden="1">
      <c r="A27" s="36"/>
      <c r="C27" s="460"/>
      <c r="D27" s="807"/>
      <c r="E27" s="465" t="s">
        <v>443</v>
      </c>
      <c r="F27" s="57" t="s">
        <v>447</v>
      </c>
      <c r="G27" s="466" t="e">
        <f>GetTheUnit(Кирпич_полнотелый_CRH_RF_250_120_65_мм_гладкий_Sahara_Cieniowana,166,2)</f>
        <v>#NAME?</v>
      </c>
      <c r="H27" s="43" t="e">
        <f>GetTheUnit(Кирпич_полнотелый_CRH_RF_250_120_65_мм_гладкий_Sahara_Cieniowana,998,1)</f>
        <v>#NAME?</v>
      </c>
      <c r="I27" s="43" t="e">
        <f>GetTheUnit(Кирпич_полнотелый_CRH_RF_250_120_65_мм_гладкий_Sahara_Cieniowana,5,1)</f>
        <v>#NAME?</v>
      </c>
      <c r="J27" s="466" t="e">
        <f>курс_евро*GetThePrice(Кирпич_полнотелый_CRH_RF_250_120_65_мм_гладкий_Sahara_Cieniowana,Дата,"Москва",Розничная)</f>
        <v>#NAME?</v>
      </c>
      <c r="K27" s="45" t="e">
        <f t="shared" si="0"/>
        <v>#NAME?</v>
      </c>
      <c r="L27" s="463"/>
      <c r="N27" s="47"/>
      <c r="O27" s="48"/>
    </row>
    <row r="28" spans="1:15" s="167" customFormat="1" ht="13.5" customHeight="1" hidden="1">
      <c r="A28" s="36"/>
      <c r="C28" s="460"/>
      <c r="D28" s="808"/>
      <c r="E28" s="30" t="s">
        <v>448</v>
      </c>
      <c r="F28" s="57" t="s">
        <v>17</v>
      </c>
      <c r="G28" s="466" t="e">
        <f>GetTheUnit(Кирпич_CRH_Half_250_55_65_мм_гладкий_Sahara_Cieniowana,166,2)</f>
        <v>#NAME?</v>
      </c>
      <c r="H28" s="43" t="e">
        <f>GetTheUnit(Кирпич_CRH_Half_250_55_65_мм_гладкий_Sahara_Cieniowana,998,1)</f>
        <v>#NAME?</v>
      </c>
      <c r="I28" s="43" t="e">
        <f>GetTheUnit(Кирпич_CRH_Half_250_55_65_мм_гладкий_Sahara_Cieniowana,5,1)</f>
        <v>#NAME?</v>
      </c>
      <c r="J28" s="466" t="e">
        <f>курс_евро*GetThePrice(Кирпич_CRH_Half_250_55_65_мм_гладкий_Sahara_Cieniowana,Дата,"Москва",Розничная)</f>
        <v>#NAME?</v>
      </c>
      <c r="K28" s="45" t="e">
        <f t="shared" si="0"/>
        <v>#NAME?</v>
      </c>
      <c r="L28" s="463"/>
      <c r="N28" s="47"/>
      <c r="O28" s="48"/>
    </row>
    <row r="29" spans="1:15" s="167" customFormat="1" ht="13.5" customHeight="1">
      <c r="A29" s="36"/>
      <c r="C29" s="460"/>
      <c r="D29" s="806" t="s">
        <v>451</v>
      </c>
      <c r="E29" s="465" t="s">
        <v>443</v>
      </c>
      <c r="F29" s="57" t="s">
        <v>17</v>
      </c>
      <c r="G29" s="466" t="e">
        <f>GetTheUnit(Кирпич_CRH_RF_250_120_65_мм_гладкий_Sahara_Miodowa,166,2)</f>
        <v>#NAME?</v>
      </c>
      <c r="H29" s="43" t="e">
        <f>GetTheUnit(Кирпич_CRH_RF_250_120_65_мм_гладкий_Sahara_Miodowa,998,1)</f>
        <v>#NAME?</v>
      </c>
      <c r="I29" s="43" t="e">
        <f>GetTheUnit(Кирпич_CRH_RF_250_120_65_мм_гладкий_Sahara_Miodowa,5,1)</f>
        <v>#NAME?</v>
      </c>
      <c r="J29" s="466" t="e">
        <f>курс_евро*GetThePrice(Кирпич_CRH_RF_250_120_65_мм_гладкий_Sahara_Miodowa,Дата,"Москва",Розничная)</f>
        <v>#NAME?</v>
      </c>
      <c r="K29" s="45" t="e">
        <f t="shared" si="0"/>
        <v>#NAME?</v>
      </c>
      <c r="L29" s="463"/>
      <c r="N29" s="47"/>
      <c r="O29" s="48"/>
    </row>
    <row r="30" spans="1:15" s="167" customFormat="1" ht="13.5" customHeight="1">
      <c r="A30" s="36"/>
      <c r="C30" s="460"/>
      <c r="D30" s="807"/>
      <c r="E30" s="30" t="s">
        <v>443</v>
      </c>
      <c r="F30" s="57" t="s">
        <v>446</v>
      </c>
      <c r="G30" s="466" t="e">
        <f>GetTheUnit(Кирпич_пятищелевой_CRH_RF_250_120_65_мм_гладкий_Sahara_Miodowa,166,2)</f>
        <v>#NAME?</v>
      </c>
      <c r="H30" s="43" t="e">
        <f>GetTheUnit(Кирпич_пятищелевой_CRH_RF_250_120_65_мм_гладкий_Sahara_Miodowa,998,1)</f>
        <v>#NAME?</v>
      </c>
      <c r="I30" s="43" t="e">
        <f>GetTheUnit(Кирпич_пятищелевой_CRH_RF_250_120_65_мм_гладкий_Sahara_Miodowa,5,1)</f>
        <v>#NAME?</v>
      </c>
      <c r="J30" s="466" t="e">
        <f>курс_евро*GetThePrice(Кирпич_пятищелевой_CRH_RF_250_120_65_мм_гладкий_Sahara_Miodowa,Дата,"Москва",Розничная)</f>
        <v>#NAME?</v>
      </c>
      <c r="K30" s="45" t="e">
        <f t="shared" si="0"/>
        <v>#NAME?</v>
      </c>
      <c r="L30" s="463"/>
      <c r="N30" s="47"/>
      <c r="O30" s="48"/>
    </row>
    <row r="31" spans="1:15" s="167" customFormat="1" ht="13.5" customHeight="1">
      <c r="A31" s="36"/>
      <c r="C31" s="460"/>
      <c r="D31" s="807"/>
      <c r="E31" s="30" t="s">
        <v>443</v>
      </c>
      <c r="F31" s="57" t="s">
        <v>447</v>
      </c>
      <c r="G31" s="466" t="e">
        <f>GetTheUnit(Кирпич_полнотелый_CRH_RF_250_120_65_мм_гладкий_Sahara_Miodowa,166,2)</f>
        <v>#NAME?</v>
      </c>
      <c r="H31" s="43" t="e">
        <f>GetTheUnit(Кирпич_полнотелый_CRH_RF_250_120_65_мм_гладкий_Sahara_Miodowa,998,1)</f>
        <v>#NAME?</v>
      </c>
      <c r="I31" s="43" t="e">
        <f>GetTheUnit(Кирпич_полнотелый_CRH_RF_250_120_65_мм_гладкий_Sahara_Miodowa,5,1)</f>
        <v>#NAME?</v>
      </c>
      <c r="J31" s="466" t="e">
        <f>курс_евро*GetThePrice(Кирпич_полнотелый_CRH_RF_250_120_65_мм_гладкий_Sahara_Miodowa,Дата,"Москва",Розничная)</f>
        <v>#NAME?</v>
      </c>
      <c r="K31" s="45" t="e">
        <f t="shared" si="0"/>
        <v>#NAME?</v>
      </c>
      <c r="L31" s="463"/>
      <c r="N31" s="47"/>
      <c r="O31" s="48"/>
    </row>
    <row r="32" spans="1:15" s="167" customFormat="1" ht="13.5" customHeight="1">
      <c r="A32" s="36"/>
      <c r="C32" s="460"/>
      <c r="D32" s="808"/>
      <c r="E32" s="30" t="s">
        <v>448</v>
      </c>
      <c r="F32" s="57" t="s">
        <v>17</v>
      </c>
      <c r="G32" s="466" t="e">
        <f>GetTheUnit(Кирпич_CRH_Half_250_55_65_мм_гладкий_Sahara_Miodowa,166,2)</f>
        <v>#NAME?</v>
      </c>
      <c r="H32" s="43" t="e">
        <f>GetTheUnit(Кирпич_CRH_Half_250_55_65_мм_гладкий_Sahara_Miodowa,998,1)</f>
        <v>#NAME?</v>
      </c>
      <c r="I32" s="43" t="e">
        <f>GetTheUnit(Кирпич_CRH_Half_250_55_65_мм_гладкий_Sahara_Miodowa,5,1)</f>
        <v>#NAME?</v>
      </c>
      <c r="J32" s="466" t="e">
        <f>курс_евро*GetThePrice(Кирпич_CRH_Half_250_55_65_мм_гладкий_Sahara_Miodowa,Дата,"Москва",Розничная)</f>
        <v>#NAME?</v>
      </c>
      <c r="K32" s="45" t="e">
        <f t="shared" si="0"/>
        <v>#NAME?</v>
      </c>
      <c r="L32" s="463"/>
      <c r="N32" s="47"/>
      <c r="O32" s="48"/>
    </row>
    <row r="33" spans="1:15" s="167" customFormat="1" ht="13.5" customHeight="1" hidden="1">
      <c r="A33" s="36"/>
      <c r="C33" s="460"/>
      <c r="D33" s="806" t="s">
        <v>452</v>
      </c>
      <c r="E33" s="465" t="s">
        <v>443</v>
      </c>
      <c r="F33" s="57" t="s">
        <v>17</v>
      </c>
      <c r="G33" s="466" t="e">
        <f>GetTheUnit(Кирпич_CRH_RF_250_120_65_мм_гладкий_Sahara_Piaskowa,166,2)</f>
        <v>#NAME?</v>
      </c>
      <c r="H33" s="43" t="e">
        <f>GetTheUnit(Кирпич_CRH_RF_250_120_65_мм_гладкий_Sahara_Piaskowa,998,1)</f>
        <v>#NAME?</v>
      </c>
      <c r="I33" s="43" t="e">
        <f>GetTheUnit(Кирпич_CRH_RF_250_120_65_мм_гладкий_Sahara_Piaskowa,5,1)</f>
        <v>#NAME?</v>
      </c>
      <c r="J33" s="466" t="e">
        <f>курс_евро*GetThePrice(Кирпич_CRH_RF_250_120_65_мм_гладкий_Sahara_Piaskowa,Дата,"Москва",Розничная)</f>
        <v>#NAME?</v>
      </c>
      <c r="K33" s="45" t="e">
        <f t="shared" si="0"/>
        <v>#NAME?</v>
      </c>
      <c r="L33" s="463"/>
      <c r="N33" s="47"/>
      <c r="O33" s="48"/>
    </row>
    <row r="34" spans="1:15" s="167" customFormat="1" ht="13.5" customHeight="1" hidden="1">
      <c r="A34" s="36"/>
      <c r="C34" s="460"/>
      <c r="D34" s="807"/>
      <c r="E34" s="465" t="s">
        <v>443</v>
      </c>
      <c r="F34" s="57" t="s">
        <v>447</v>
      </c>
      <c r="G34" s="466" t="e">
        <f>GetTheUnit(Кирпич_полнотелый_CRH_RF_250_120_65_мм_гладкий_Sahara_Piaskowa,166,2)</f>
        <v>#NAME?</v>
      </c>
      <c r="H34" s="43" t="e">
        <f>GetTheUnit(Кирпич_полнотелый_CRH_RF_250_120_65_мм_гладкий_Sahara_Piaskowa,998,1)</f>
        <v>#NAME?</v>
      </c>
      <c r="I34" s="43" t="e">
        <f>GetTheUnit(Кирпич_полнотелый_CRH_RF_250_120_65_мм_гладкий_Sahara_Piaskowa,5,1)</f>
        <v>#NAME?</v>
      </c>
      <c r="J34" s="466" t="e">
        <f>курс_евро*GetThePrice(Кирпич_полнотелый_CRH_RF_250_120_65_мм_гладкий_Sahara_Piaskowa,Дата,"Москва",Розничная)</f>
        <v>#NAME?</v>
      </c>
      <c r="K34" s="45" t="e">
        <f t="shared" si="0"/>
        <v>#NAME?</v>
      </c>
      <c r="L34" s="463"/>
      <c r="N34" s="47"/>
      <c r="O34" s="48"/>
    </row>
    <row r="35" spans="1:15" s="167" customFormat="1" ht="13.5" customHeight="1" hidden="1">
      <c r="A35" s="36"/>
      <c r="C35" s="460"/>
      <c r="D35" s="808"/>
      <c r="E35" s="30" t="s">
        <v>448</v>
      </c>
      <c r="F35" s="57" t="s">
        <v>17</v>
      </c>
      <c r="G35" s="466" t="e">
        <f>GetTheUnit(Кирпич_CRH_Half_250_55_65_мм_гладкий_Sahara_Piaskowa,166,2)</f>
        <v>#NAME?</v>
      </c>
      <c r="H35" s="43" t="e">
        <f>GetTheUnit(Кирпич_CRH_Half_250_55_65_мм_гладкий_Sahara_Piaskowa,998,1)</f>
        <v>#NAME?</v>
      </c>
      <c r="I35" s="43" t="e">
        <f>GetTheUnit(Кирпич_CRH_Half_250_55_65_мм_гладкий_Sahara_Piaskowa,5,1)</f>
        <v>#NAME?</v>
      </c>
      <c r="J35" s="466" t="e">
        <f>курс_евро*GetThePrice(Кирпич_CRH_Half_250_55_65_мм_гладкий_Sahara_Piaskowa,Дата,"Москва",Розничная)</f>
        <v>#NAME?</v>
      </c>
      <c r="K35" s="45" t="e">
        <f t="shared" si="0"/>
        <v>#NAME?</v>
      </c>
      <c r="L35" s="463"/>
      <c r="N35" s="47"/>
      <c r="O35" s="48"/>
    </row>
    <row r="36" spans="1:15" s="167" customFormat="1" ht="13.5" customHeight="1" hidden="1">
      <c r="A36" s="36"/>
      <c r="C36" s="460"/>
      <c r="D36" s="806" t="s">
        <v>453</v>
      </c>
      <c r="E36" s="465" t="s">
        <v>443</v>
      </c>
      <c r="F36" s="57" t="s">
        <v>17</v>
      </c>
      <c r="G36" s="466" t="e">
        <f>GetTheUnit(Кирпич_CRH_RF_250_120_65_мм_гладкий_Solar,166,2)</f>
        <v>#NAME?</v>
      </c>
      <c r="H36" s="43" t="e">
        <f>GetTheUnit(Кирпич_CRH_RF_250_120_65_мм_гладкий_Solar,998,1)</f>
        <v>#NAME?</v>
      </c>
      <c r="I36" s="43" t="e">
        <f>GetTheUnit(Кирпич_CRH_RF_250_120_65_мм_гладкий_Solar,5,1)</f>
        <v>#NAME?</v>
      </c>
      <c r="J36" s="466" t="e">
        <f>курс_евро*GetThePrice(Кирпич_CRH_RF_250_120_65_мм_гладкий_Solar,Дата,"Москва",Розничная)</f>
        <v>#NAME?</v>
      </c>
      <c r="K36" s="45" t="e">
        <f t="shared" si="0"/>
        <v>#NAME?</v>
      </c>
      <c r="L36" s="463"/>
      <c r="N36" s="47"/>
      <c r="O36" s="48"/>
    </row>
    <row r="37" spans="1:15" s="167" customFormat="1" ht="13.5" customHeight="1" hidden="1">
      <c r="A37" s="36"/>
      <c r="C37" s="460"/>
      <c r="D37" s="807"/>
      <c r="E37" s="465" t="s">
        <v>443</v>
      </c>
      <c r="F37" s="57" t="s">
        <v>447</v>
      </c>
      <c r="G37" s="466" t="e">
        <f>GetTheUnit(Кирпич_полнотелый_CRH_RF_250_120_65_мм_гладкий_Solar,166,2)</f>
        <v>#NAME?</v>
      </c>
      <c r="H37" s="43" t="e">
        <f>GetTheUnit(Кирпич_полнотелый_CRH_RF_250_120_65_мм_гладкий_Solar,998,1)</f>
        <v>#NAME?</v>
      </c>
      <c r="I37" s="43" t="e">
        <f>GetTheUnit(Кирпич_полнотелый_CRH_RF_250_120_65_мм_гладкий_Solar,5,1)</f>
        <v>#NAME?</v>
      </c>
      <c r="J37" s="466" t="e">
        <f>курс_евро*GetThePrice(Кирпич_полнотелый_CRH_RF_250_120_65_мм_гладкий_Solar,Дата,"Москва",Розничная)</f>
        <v>#NAME?</v>
      </c>
      <c r="K37" s="45" t="e">
        <f t="shared" si="0"/>
        <v>#NAME?</v>
      </c>
      <c r="L37" s="463"/>
      <c r="N37" s="47"/>
      <c r="O37" s="48"/>
    </row>
    <row r="38" spans="1:15" s="167" customFormat="1" ht="13.5" customHeight="1" hidden="1">
      <c r="A38" s="36"/>
      <c r="C38" s="460"/>
      <c r="D38" s="808"/>
      <c r="E38" s="30" t="s">
        <v>448</v>
      </c>
      <c r="F38" s="57" t="s">
        <v>17</v>
      </c>
      <c r="G38" s="466" t="e">
        <f>GetTheUnit(Кирпич_CRH_Half_250_55_65_мм_гладкий_Solar,166,2)</f>
        <v>#NAME?</v>
      </c>
      <c r="H38" s="43" t="e">
        <f>GetTheUnit(Кирпич_CRH_Half_250_55_65_мм_гладкий_Solar,998,1)</f>
        <v>#NAME?</v>
      </c>
      <c r="I38" s="43" t="e">
        <f>GetTheUnit(Кирпич_CRH_Half_250_55_65_мм_гладкий_Solar,5,1)</f>
        <v>#NAME?</v>
      </c>
      <c r="J38" s="466" t="e">
        <f>курс_евро*GetThePrice(Кирпич_CRH_Half_250_55_65_мм_гладкий_Solar,Дата,"Москва",Розничная)</f>
        <v>#NAME?</v>
      </c>
      <c r="K38" s="45" t="e">
        <f t="shared" si="0"/>
        <v>#NAME?</v>
      </c>
      <c r="L38" s="463"/>
      <c r="N38" s="47"/>
      <c r="O38" s="48"/>
    </row>
    <row r="39" spans="1:15" s="167" customFormat="1" ht="13.5" customHeight="1">
      <c r="A39" s="36"/>
      <c r="C39" s="460"/>
      <c r="D39" s="806" t="s">
        <v>454</v>
      </c>
      <c r="E39" s="465" t="s">
        <v>443</v>
      </c>
      <c r="F39" s="57" t="s">
        <v>17</v>
      </c>
      <c r="G39" s="466" t="e">
        <f>GetTheUnit(Кирпич_CRH_RF_250_120_65_мм_гладкий_Ochra,166,2)</f>
        <v>#NAME?</v>
      </c>
      <c r="H39" s="43" t="e">
        <f>GetTheUnit(Кирпич_CRH_RF_250_120_65_мм_гладкий_Ochra,998,1)</f>
        <v>#NAME?</v>
      </c>
      <c r="I39" s="43" t="e">
        <f>GetTheUnit(Кирпич_CRH_RF_250_120_65_мм_гладкий_Ochra,5,1)</f>
        <v>#NAME?</v>
      </c>
      <c r="J39" s="466" t="e">
        <f>курс_евро*GetThePrice(Кирпич_CRH_RF_250_120_65_мм_гладкий_Ochra,Дата,"Москва",Розничная)</f>
        <v>#NAME?</v>
      </c>
      <c r="K39" s="45" t="e">
        <f t="shared" si="0"/>
        <v>#NAME?</v>
      </c>
      <c r="L39" s="463"/>
      <c r="N39" s="47"/>
      <c r="O39" s="48"/>
    </row>
    <row r="40" spans="1:15" s="167" customFormat="1" ht="13.5" customHeight="1">
      <c r="A40" s="36"/>
      <c r="C40" s="460"/>
      <c r="D40" s="807"/>
      <c r="E40" s="465" t="s">
        <v>443</v>
      </c>
      <c r="F40" s="57" t="s">
        <v>446</v>
      </c>
      <c r="G40" s="466" t="e">
        <f>GetTheUnit(Кирпич_пятищелевой_CRH_RF_250_120_65_мм_гладкий_Ochra,166,2)</f>
        <v>#NAME?</v>
      </c>
      <c r="H40" s="43" t="e">
        <f>GetTheUnit(Кирпич_пятищелевой_CRH_RF_250_120_65_мм_гладкий_Ochra,998,1)</f>
        <v>#NAME?</v>
      </c>
      <c r="I40" s="43" t="e">
        <f>GetTheUnit(Кирпич_пятищелевой_CRH_RF_250_120_65_мм_гладкий_Ochra,5,1)</f>
        <v>#NAME?</v>
      </c>
      <c r="J40" s="466" t="e">
        <f>курс_евро*GetThePrice(Кирпич_пятищелевой_CRH_RF_250_120_65_мм_гладкий_Ochra,Дата,"Москва",Розничная)</f>
        <v>#NAME?</v>
      </c>
      <c r="K40" s="45" t="e">
        <f t="shared" si="0"/>
        <v>#NAME?</v>
      </c>
      <c r="L40" s="463"/>
      <c r="N40" s="47"/>
      <c r="O40" s="48"/>
    </row>
    <row r="41" spans="1:15" s="167" customFormat="1" ht="13.5" customHeight="1">
      <c r="A41" s="36"/>
      <c r="C41" s="460"/>
      <c r="D41" s="807"/>
      <c r="E41" s="465" t="s">
        <v>443</v>
      </c>
      <c r="F41" s="57" t="s">
        <v>447</v>
      </c>
      <c r="G41" s="466" t="e">
        <f>GetTheUnit(Кирпич_полнотелый_CRH_RF_250_120_65_мм_гладкий_Ochra,166,2)</f>
        <v>#NAME?</v>
      </c>
      <c r="H41" s="43" t="e">
        <f>GetTheUnit(Кирпич_полнотелый_CRH_RF_250_120_65_мм_гладкий_Ochra,998,1)</f>
        <v>#NAME?</v>
      </c>
      <c r="I41" s="43" t="e">
        <f>GetTheUnit(Кирпич_полнотелый_CRH_RF_250_120_65_мм_гладкий_Ochra,5,1)</f>
        <v>#NAME?</v>
      </c>
      <c r="J41" s="466" t="e">
        <f>курс_евро*GetThePrice(Кирпич_полнотелый_CRH_RF_250_120_65_мм_гладкий_Ochra,Дата,"Москва",Розничная)</f>
        <v>#NAME?</v>
      </c>
      <c r="K41" s="45" t="e">
        <f t="shared" si="0"/>
        <v>#NAME?</v>
      </c>
      <c r="L41" s="463"/>
      <c r="N41" s="47"/>
      <c r="O41" s="48"/>
    </row>
    <row r="42" spans="1:15" s="167" customFormat="1" ht="13.5" customHeight="1">
      <c r="A42" s="36"/>
      <c r="C42" s="460"/>
      <c r="D42" s="806" t="s">
        <v>455</v>
      </c>
      <c r="E42" s="465" t="s">
        <v>443</v>
      </c>
      <c r="F42" s="57" t="s">
        <v>17</v>
      </c>
      <c r="G42" s="466" t="e">
        <f>GetTheUnit(Кирпич_CRH_RF_250_120_65_мм_гладкий_Ochra_Ton,166,2)</f>
        <v>#NAME?</v>
      </c>
      <c r="H42" s="43" t="e">
        <f>GetTheUnit(Кирпич_CRH_RF_250_120_65_мм_гладкий_Ochra_Ton,998,1)</f>
        <v>#NAME?</v>
      </c>
      <c r="I42" s="43" t="e">
        <f>GetTheUnit(Кирпич_CRH_RF_250_120_65_мм_гладкий_Ochra_Ton,5,1)</f>
        <v>#NAME?</v>
      </c>
      <c r="J42" s="466" t="e">
        <f>курс_евро*GetThePrice(Кирпич_CRH_RF_250_120_65_мм_гладкий_Ochra_Ton,Дата,"Москва",Розничная)</f>
        <v>#NAME?</v>
      </c>
      <c r="K42" s="45" t="e">
        <f t="shared" si="0"/>
        <v>#NAME?</v>
      </c>
      <c r="L42" s="463"/>
      <c r="N42" s="47"/>
      <c r="O42" s="48"/>
    </row>
    <row r="43" spans="1:15" s="167" customFormat="1" ht="13.5" customHeight="1">
      <c r="A43" s="36"/>
      <c r="C43" s="460"/>
      <c r="D43" s="807"/>
      <c r="E43" s="30" t="s">
        <v>443</v>
      </c>
      <c r="F43" s="57" t="s">
        <v>446</v>
      </c>
      <c r="G43" s="466" t="e">
        <f>GetTheUnit(Кирпич_пятищелевой_CRH_RF_250_120_65_мм_гладкий_Sahara_Miodowa,166,2)</f>
        <v>#NAME?</v>
      </c>
      <c r="H43" s="43" t="e">
        <f>GetTheUnit(Кирпич_пятищелевой_CRH_RF_250_120_65_мм_гладкий_Sahara_Miodowa,998,1)</f>
        <v>#NAME?</v>
      </c>
      <c r="I43" s="43" t="e">
        <f>GetTheUnit(Кирпич_пятищелевой_CRH_RF_250_120_65_мм_гладкий_Sahara_Miodowa,5,1)</f>
        <v>#NAME?</v>
      </c>
      <c r="J43" s="466" t="e">
        <f>курс_евро*GetThePrice(Кирпич_пятищелевой_CRH_RF_250_120_65_мм_гладкий_Sahara_Miodowa,Дата,"Москва",Розничная)</f>
        <v>#NAME?</v>
      </c>
      <c r="K43" s="45" t="e">
        <f t="shared" si="0"/>
        <v>#NAME?</v>
      </c>
      <c r="L43" s="463"/>
      <c r="N43" s="47"/>
      <c r="O43" s="48"/>
    </row>
    <row r="44" spans="1:15" s="167" customFormat="1" ht="13.5" customHeight="1">
      <c r="A44" s="36"/>
      <c r="C44" s="460"/>
      <c r="D44" s="807"/>
      <c r="E44" s="465" t="s">
        <v>443</v>
      </c>
      <c r="F44" s="57" t="s">
        <v>447</v>
      </c>
      <c r="G44" s="466" t="e">
        <f>GetTheUnit(Кирпич_полнотелый_CRH_RF_250_120_65_мм_гладкий_Ochra_Ton,166,2)</f>
        <v>#NAME?</v>
      </c>
      <c r="H44" s="43" t="e">
        <f>GetTheUnit(Кирпич_полнотелый_CRH_RF_250_120_65_мм_гладкий_Ochra_Ton,998,1)</f>
        <v>#NAME?</v>
      </c>
      <c r="I44" s="43" t="e">
        <f>GetTheUnit(Кирпич_полнотелый_CRH_RF_250_120_65_мм_гладкий_Ochra_Ton,5,1)</f>
        <v>#NAME?</v>
      </c>
      <c r="J44" s="466" t="e">
        <f>курс_евро*GetThePrice(Кирпич_полнотелый_CRH_RF_250_120_65_мм_гладкий_Ochra_Ton,Дата,"Москва",Розничная)</f>
        <v>#NAME?</v>
      </c>
      <c r="K44" s="45" t="e">
        <f t="shared" si="0"/>
        <v>#NAME?</v>
      </c>
      <c r="L44" s="463"/>
      <c r="N44" s="47"/>
      <c r="O44" s="48"/>
    </row>
    <row r="45" spans="1:15" s="167" customFormat="1" ht="13.5" customHeight="1">
      <c r="A45" s="36"/>
      <c r="C45" s="460"/>
      <c r="D45" s="808"/>
      <c r="E45" s="30" t="s">
        <v>448</v>
      </c>
      <c r="F45" s="57" t="s">
        <v>17</v>
      </c>
      <c r="G45" s="466" t="e">
        <f>GetTheUnit(Кирпич_CRH_Half_250_55_65_мм_гладкий_Ochra_Ton,166,2)</f>
        <v>#NAME?</v>
      </c>
      <c r="H45" s="43" t="e">
        <f>GetTheUnit(Кирпич_CRH_Half_250_55_65_мм_гладкий_Ochra_Ton,998,1)</f>
        <v>#NAME?</v>
      </c>
      <c r="I45" s="43" t="e">
        <f>GetTheUnit(Кирпич_CRH_Half_250_55_65_мм_гладкий_Ochra_Ton,5,1)</f>
        <v>#NAME?</v>
      </c>
      <c r="J45" s="466" t="e">
        <f>курс_евро*GetThePrice(Кирпич_CRH_Half_250_55_65_мм_гладкий_Ochra_Ton,Дата,"Москва",Розничная)</f>
        <v>#NAME?</v>
      </c>
      <c r="K45" s="45" t="e">
        <f t="shared" si="0"/>
        <v>#NAME?</v>
      </c>
      <c r="L45" s="463"/>
      <c r="N45" s="47"/>
      <c r="O45" s="48"/>
    </row>
    <row r="46" spans="1:15" s="468" customFormat="1" ht="15.75" customHeight="1">
      <c r="A46" s="467"/>
      <c r="C46" s="469"/>
      <c r="D46" s="461" t="s">
        <v>456</v>
      </c>
      <c r="E46" s="470"/>
      <c r="F46" s="470"/>
      <c r="G46" s="471"/>
      <c r="H46" s="472"/>
      <c r="I46" s="473"/>
      <c r="J46" s="470"/>
      <c r="K46" s="470"/>
      <c r="L46" s="474"/>
      <c r="N46" s="475"/>
      <c r="O46" s="476"/>
    </row>
    <row r="47" spans="1:15" s="167" customFormat="1" ht="13.5" customHeight="1">
      <c r="A47" s="36"/>
      <c r="C47" s="460"/>
      <c r="D47" s="806" t="s">
        <v>457</v>
      </c>
      <c r="E47" s="465" t="s">
        <v>443</v>
      </c>
      <c r="F47" s="57" t="s">
        <v>17</v>
      </c>
      <c r="G47" s="466" t="e">
        <f>GetTheUnit(Кирпич_CRH_RF_250_120_65_мм_гладкий_Kalahari,166,2)</f>
        <v>#NAME?</v>
      </c>
      <c r="H47" s="43" t="e">
        <f>GetTheUnit(Кирпич_CRH_RF_250_120_65_мм_гладкий_Kalahari,998,1)</f>
        <v>#NAME?</v>
      </c>
      <c r="I47" s="43" t="e">
        <f>GetTheUnit(Кирпич_CRH_RF_250_120_65_мм_гладкий_Kalahari,5,1)</f>
        <v>#NAME?</v>
      </c>
      <c r="J47" s="466" t="e">
        <f>курс_евро*GetThePrice(Кирпич_CRH_RF_250_120_65_мм_гладкий_Kalahari,Дата,"Москва",Розничная)</f>
        <v>#NAME?</v>
      </c>
      <c r="K47" s="45" t="e">
        <f>J47*H47</f>
        <v>#NAME?</v>
      </c>
      <c r="L47" s="463"/>
      <c r="N47" s="47"/>
      <c r="O47" s="48"/>
    </row>
    <row r="48" spans="1:15" s="167" customFormat="1" ht="13.5" customHeight="1">
      <c r="A48" s="36"/>
      <c r="C48" s="460"/>
      <c r="D48" s="807"/>
      <c r="E48" s="465" t="s">
        <v>443</v>
      </c>
      <c r="F48" s="57" t="s">
        <v>447</v>
      </c>
      <c r="G48" s="466" t="e">
        <f>GetTheUnit(Кирпич_полнотелый_CRH_RF_250_120_65_мм_гладкий_Kalahari,166,2)</f>
        <v>#NAME?</v>
      </c>
      <c r="H48" s="43" t="e">
        <f>GetTheUnit(Кирпич_полнотелый_CRH_RF_250_120_65_мм_гладкий_Kalahari,998,1)</f>
        <v>#NAME?</v>
      </c>
      <c r="I48" s="43" t="e">
        <f>GetTheUnit(Кирпич_полнотелый_CRH_RF_250_120_65_мм_гладкий_Kalahari,5,1)</f>
        <v>#NAME?</v>
      </c>
      <c r="J48" s="466" t="e">
        <f>курс_евро*GetThePrice(Кирпич_полнотелый_CRH_RF_250_120_65_мм_гладкий_Kalahari,Дата,"Москва",Розничная)</f>
        <v>#NAME?</v>
      </c>
      <c r="K48" s="45" t="e">
        <f>J48*H48</f>
        <v>#NAME?</v>
      </c>
      <c r="L48" s="463"/>
      <c r="N48" s="47"/>
      <c r="O48" s="48"/>
    </row>
    <row r="49" spans="1:15" s="167" customFormat="1" ht="13.5" customHeight="1">
      <c r="A49" s="36"/>
      <c r="C49" s="460"/>
      <c r="D49" s="808"/>
      <c r="E49" s="30" t="s">
        <v>448</v>
      </c>
      <c r="F49" s="57" t="s">
        <v>17</v>
      </c>
      <c r="G49" s="466" t="e">
        <f>GetTheUnit(Кирпич_CRH_Half_250_55_65_мм_гладкий_Kalahari,166,2)</f>
        <v>#NAME?</v>
      </c>
      <c r="H49" s="43" t="e">
        <f>GetTheUnit(Кирпич_CRH_Half_250_55_65_мм_гладкий_Kalahari,998,1)</f>
        <v>#NAME?</v>
      </c>
      <c r="I49" s="43" t="e">
        <f>GetTheUnit(Кирпич_CRH_Half_250_55_65_мм_гладкий_Kalahari,5,1)</f>
        <v>#NAME?</v>
      </c>
      <c r="J49" s="466" t="e">
        <f>курс_евро*GetThePrice(Кирпич_CRH_Half_250_55_65_мм_гладкий_Kalahari,Дата,"Москва",Розничная)</f>
        <v>#NAME?</v>
      </c>
      <c r="K49" s="45" t="e">
        <f>J49*H49</f>
        <v>#NAME?</v>
      </c>
      <c r="L49" s="463"/>
      <c r="N49" s="47"/>
      <c r="O49" s="48"/>
    </row>
    <row r="50" spans="1:15" s="167" customFormat="1" ht="13.5" customHeight="1">
      <c r="A50" s="36"/>
      <c r="C50" s="460"/>
      <c r="D50" s="806" t="s">
        <v>458</v>
      </c>
      <c r="E50" s="465" t="s">
        <v>443</v>
      </c>
      <c r="F50" s="57" t="s">
        <v>17</v>
      </c>
      <c r="G50" s="466" t="e">
        <f>GetTheUnit(Кирпич_CRH_RF_250_120_65_мм_гладкий_Kalahari_Ton,166,2)</f>
        <v>#NAME?</v>
      </c>
      <c r="H50" s="43" t="e">
        <f>GetTheUnit(Кирпич_CRH_RF_250_120_65_мм_гладкий_Kalahari_Ton,998,1)</f>
        <v>#NAME?</v>
      </c>
      <c r="I50" s="43" t="e">
        <f>GetTheUnit(Кирпич_CRH_RF_250_120_65_мм_гладкий_Kalahari_Ton,5,1)</f>
        <v>#NAME?</v>
      </c>
      <c r="J50" s="466" t="e">
        <f>курс_евро*GetThePrice(Кирпич_CRH_RF_250_120_65_мм_гладкий_Kalahari_Ton,Дата,"Москва",Розничная)</f>
        <v>#NAME?</v>
      </c>
      <c r="K50" s="45" t="e">
        <f aca="true" t="shared" si="1" ref="K50:K79">J50*H50</f>
        <v>#NAME?</v>
      </c>
      <c r="L50" s="463"/>
      <c r="N50" s="47"/>
      <c r="O50" s="48"/>
    </row>
    <row r="51" spans="1:15" s="167" customFormat="1" ht="13.5" customHeight="1">
      <c r="A51" s="36"/>
      <c r="C51" s="460"/>
      <c r="D51" s="807"/>
      <c r="E51" s="465" t="s">
        <v>443</v>
      </c>
      <c r="F51" s="57" t="s">
        <v>446</v>
      </c>
      <c r="G51" s="466" t="e">
        <f>GetTheUnit(Кирпич_пятищелевой_CRH_RF_250_120_65_мм_гладкий_Kalahari_Ton,166,2)</f>
        <v>#NAME?</v>
      </c>
      <c r="H51" s="43" t="e">
        <f>GetTheUnit(Кирпич_пятищелевой_CRH_RF_250_120_65_мм_гладкий_Kalahari_Ton,998,1)</f>
        <v>#NAME?</v>
      </c>
      <c r="I51" s="43" t="e">
        <f>GetTheUnit(Кирпич_пятищелевой_CRH_RF_250_120_65_мм_гладкий_Kalahari_Ton,5,1)</f>
        <v>#NAME?</v>
      </c>
      <c r="J51" s="466" t="e">
        <f>курс_евро*GetThePrice(Кирпич_пятищелевой_CRH_RF_250_120_65_мм_гладкий_Kalahari_Ton,Дата,"Москва",Розничная)</f>
        <v>#NAME?</v>
      </c>
      <c r="K51" s="45" t="e">
        <f t="shared" si="1"/>
        <v>#NAME?</v>
      </c>
      <c r="L51" s="463"/>
      <c r="N51" s="47"/>
      <c r="O51" s="48"/>
    </row>
    <row r="52" spans="1:15" s="167" customFormat="1" ht="13.5" customHeight="1">
      <c r="A52" s="36"/>
      <c r="C52" s="460"/>
      <c r="D52" s="807"/>
      <c r="E52" s="465" t="s">
        <v>443</v>
      </c>
      <c r="F52" s="57" t="s">
        <v>447</v>
      </c>
      <c r="G52" s="466" t="e">
        <f>GetTheUnit(Кирпич_полнотелый_CRH_RF_250_120_65_мм_гладкий_Kalahari_Ton,166,2)</f>
        <v>#NAME?</v>
      </c>
      <c r="H52" s="43" t="e">
        <f>GetTheUnit(Кирпич_полнотелый_CRH_RF_250_120_65_мм_гладкий_Kalahari_Ton,998,1)</f>
        <v>#NAME?</v>
      </c>
      <c r="I52" s="43" t="e">
        <f>GetTheUnit(Кирпич_полнотелый_CRH_RF_250_120_65_мм_гладкий_Kalahari_Ton,5,1)</f>
        <v>#NAME?</v>
      </c>
      <c r="J52" s="466" t="e">
        <f>курс_евро*GetThePrice(Кирпич_полнотелый_CRH_RF_250_120_65_мм_гладкий_Kalahari_Ton,Дата,"Москва",Розничная)</f>
        <v>#NAME?</v>
      </c>
      <c r="K52" s="45" t="e">
        <f t="shared" si="1"/>
        <v>#NAME?</v>
      </c>
      <c r="L52" s="463"/>
      <c r="N52" s="47"/>
      <c r="O52" s="48"/>
    </row>
    <row r="53" spans="1:15" s="167" customFormat="1" ht="13.5" customHeight="1">
      <c r="A53" s="36"/>
      <c r="C53" s="460"/>
      <c r="D53" s="808"/>
      <c r="E53" s="30" t="s">
        <v>448</v>
      </c>
      <c r="F53" s="57" t="s">
        <v>17</v>
      </c>
      <c r="G53" s="466" t="e">
        <f>GetTheUnit(Кирпич_CRH_Half_250_55_65_мм_гладкий_Kalahari_Ton,166,2)</f>
        <v>#NAME?</v>
      </c>
      <c r="H53" s="43" t="e">
        <f>GetTheUnit(Кирпич_CRH_Half_250_55_65_мм_гладкий_Kalahari_Ton,998,1)</f>
        <v>#NAME?</v>
      </c>
      <c r="I53" s="43" t="e">
        <f>GetTheUnit(Кирпич_CRH_Half_250_55_65_мм_гладкий_Kalahari_Ton,5,1)</f>
        <v>#NAME?</v>
      </c>
      <c r="J53" s="466" t="e">
        <f>курс_евро*GetThePrice(Кирпич_CRH_Half_250_55_65_мм_гладкий_Kalahari_Ton,Дата,"Москва",Розничная)</f>
        <v>#NAME?</v>
      </c>
      <c r="K53" s="45" t="e">
        <f t="shared" si="1"/>
        <v>#NAME?</v>
      </c>
      <c r="L53" s="463"/>
      <c r="N53" s="47"/>
      <c r="O53" s="48"/>
    </row>
    <row r="54" spans="1:15" s="477" customFormat="1" ht="13.5" customHeight="1">
      <c r="A54" s="36"/>
      <c r="C54" s="478"/>
      <c r="D54" s="798" t="s">
        <v>459</v>
      </c>
      <c r="E54" s="465" t="s">
        <v>443</v>
      </c>
      <c r="F54" s="57" t="s">
        <v>17</v>
      </c>
      <c r="G54" s="466" t="e">
        <f>GetTheUnit(Кирпич_CRH_RF_250_120_65_мм_гладкий_Alfa,166,2)</f>
        <v>#NAME?</v>
      </c>
      <c r="H54" s="43" t="e">
        <f>GetTheUnit(Кирпич_CRH_RF_250_120_65_мм_гладкий_Alfa,998,1)</f>
        <v>#NAME?</v>
      </c>
      <c r="I54" s="43" t="e">
        <f>GetTheUnit(Кирпич_CRH_RF_250_120_65_мм_гладкий_Alfa,5,1)</f>
        <v>#NAME?</v>
      </c>
      <c r="J54" s="466" t="e">
        <f>курс_евро*GetThePrice(Кирпич_CRH_RF_250_120_65_мм_гладкий_Alfa,Дата,"Москва",Розничная)</f>
        <v>#NAME?</v>
      </c>
      <c r="K54" s="45" t="e">
        <f t="shared" si="1"/>
        <v>#NAME?</v>
      </c>
      <c r="L54" s="479"/>
      <c r="N54" s="47"/>
      <c r="O54" s="48"/>
    </row>
    <row r="55" spans="1:15" s="477" customFormat="1" ht="13.5" customHeight="1">
      <c r="A55" s="36"/>
      <c r="C55" s="478"/>
      <c r="D55" s="809"/>
      <c r="E55" s="465" t="s">
        <v>443</v>
      </c>
      <c r="F55" s="57" t="s">
        <v>446</v>
      </c>
      <c r="G55" s="466" t="e">
        <f>GetTheUnit(Кирпич_пятищелевой_CRH_RF_250_120_65_мм_гладкий_Alfa,166,2)</f>
        <v>#NAME?</v>
      </c>
      <c r="H55" s="43" t="e">
        <f>GetTheUnit(Кирпич_пятищелевой_CRH_RF_250_120_65_мм_гладкий_Alfa,998,1)</f>
        <v>#NAME?</v>
      </c>
      <c r="I55" s="43" t="e">
        <f>GetTheUnit(Кирпич_пятищелевой_CRH_RF_250_120_65_мм_гладкий_Alfa,5,1)</f>
        <v>#NAME?</v>
      </c>
      <c r="J55" s="466" t="e">
        <f>курс_евро*GetThePrice(Кирпич_пятищелевой_CRH_RF_250_120_65_мм_гладкий_Alfa,Дата,"Москва",Розничная)</f>
        <v>#NAME?</v>
      </c>
      <c r="K55" s="45" t="e">
        <f>J55*H55</f>
        <v>#NAME?</v>
      </c>
      <c r="L55" s="479"/>
      <c r="N55" s="47"/>
      <c r="O55" s="48"/>
    </row>
    <row r="56" spans="1:15" s="477" customFormat="1" ht="13.5" customHeight="1">
      <c r="A56" s="36"/>
      <c r="C56" s="478"/>
      <c r="D56" s="809"/>
      <c r="E56" s="465" t="s">
        <v>443</v>
      </c>
      <c r="F56" s="57" t="s">
        <v>447</v>
      </c>
      <c r="G56" s="466" t="e">
        <f>GetTheUnit(Кирпич_полнотелый_CRH_RF_250_120_65_мм_гладкий_Alfa,166,2)</f>
        <v>#NAME?</v>
      </c>
      <c r="H56" s="43" t="e">
        <f>GetTheUnit(Кирпич_полнотелый_CRH_RF_250_120_65_мм_гладкий_Alfa,998,1)</f>
        <v>#NAME?</v>
      </c>
      <c r="I56" s="43" t="e">
        <f>GetTheUnit(Кирпич_полнотелый_CRH_RF_250_120_65_мм_гладкий_Alfa,5,1)</f>
        <v>#NAME?</v>
      </c>
      <c r="J56" s="466" t="e">
        <f>курс_евро*GetThePrice(Кирпич_полнотелый_CRH_RF_250_120_65_мм_гладкий_Alfa,Дата,"Москва",Розничная)</f>
        <v>#NAME?</v>
      </c>
      <c r="K56" s="45" t="e">
        <f t="shared" si="1"/>
        <v>#NAME?</v>
      </c>
      <c r="L56" s="479"/>
      <c r="N56" s="47"/>
      <c r="O56" s="48"/>
    </row>
    <row r="57" spans="1:15" s="477" customFormat="1" ht="13.5" customHeight="1">
      <c r="A57" s="36"/>
      <c r="C57" s="478"/>
      <c r="D57" s="799"/>
      <c r="E57" s="30" t="s">
        <v>448</v>
      </c>
      <c r="F57" s="57" t="s">
        <v>17</v>
      </c>
      <c r="G57" s="466" t="e">
        <f>GetTheUnit(Кирпич_CRH_Half_250_55_65_мм_гладкий_Alfa,166,2)</f>
        <v>#NAME?</v>
      </c>
      <c r="H57" s="43" t="e">
        <f>GetTheUnit(Кирпич_CRH_Half_250_55_65_мм_гладкий_Alfa,998,1)</f>
        <v>#NAME?</v>
      </c>
      <c r="I57" s="43" t="e">
        <f>GetTheUnit(Кирпич_CRH_Half_250_55_65_мм_гладкий_Alfa,5,1)</f>
        <v>#NAME?</v>
      </c>
      <c r="J57" s="466" t="e">
        <f>курс_евро*GetThePrice(Кирпич_CRH_Half_250_55_65_мм_гладкий_Alfa,Дата,"Москва",Розничная)</f>
        <v>#NAME?</v>
      </c>
      <c r="K57" s="45" t="e">
        <f t="shared" si="1"/>
        <v>#NAME?</v>
      </c>
      <c r="L57" s="479"/>
      <c r="N57" s="47"/>
      <c r="O57" s="48"/>
    </row>
    <row r="58" spans="1:15" s="167" customFormat="1" ht="13.5" customHeight="1" hidden="1">
      <c r="A58" s="36"/>
      <c r="C58" s="460"/>
      <c r="D58" s="806" t="s">
        <v>460</v>
      </c>
      <c r="E58" s="465" t="s">
        <v>443</v>
      </c>
      <c r="F58" s="57" t="s">
        <v>17</v>
      </c>
      <c r="G58" s="466" t="e">
        <f>GetTheUnit(Кирпич_CRH_RF_250_120_65_мм_гладкий_Cherry,166,2)</f>
        <v>#NAME?</v>
      </c>
      <c r="H58" s="43" t="e">
        <f>GetTheUnit(Кирпич_CRH_RF_250_120_65_мм_гладкий_Cherry,998,1)</f>
        <v>#NAME?</v>
      </c>
      <c r="I58" s="43" t="e">
        <f>GetTheUnit(Кирпич_CRH_RF_250_120_65_мм_гладкий_Cherry,5,1)</f>
        <v>#NAME?</v>
      </c>
      <c r="J58" s="466" t="e">
        <f>курс_евро*GetThePrice(Кирпич_CRH_RF_250_120_65_мм_гладкий_Cherry,Дата,"Москва",Розничная)</f>
        <v>#NAME?</v>
      </c>
      <c r="K58" s="45" t="e">
        <f t="shared" si="1"/>
        <v>#NAME?</v>
      </c>
      <c r="L58" s="463"/>
      <c r="N58" s="47"/>
      <c r="O58" s="48"/>
    </row>
    <row r="59" spans="1:15" s="167" customFormat="1" ht="13.5" customHeight="1" hidden="1">
      <c r="A59" s="36"/>
      <c r="C59" s="460"/>
      <c r="D59" s="807"/>
      <c r="E59" s="465" t="s">
        <v>443</v>
      </c>
      <c r="F59" s="57" t="s">
        <v>447</v>
      </c>
      <c r="G59" s="466" t="e">
        <f>GetTheUnit(Кирпич_полнотелый_CRH_RF_250_120_65_мм_гладкий_Cherry,166,2)</f>
        <v>#NAME?</v>
      </c>
      <c r="H59" s="43" t="e">
        <f>GetTheUnit(Кирпич_полнотелый_CRH_RF_250_120_65_мм_гладкий_Cherry,998,1)</f>
        <v>#NAME?</v>
      </c>
      <c r="I59" s="43" t="e">
        <f>GetTheUnit(Кирпич_полнотелый_CRH_RF_250_120_65_мм_гладкий_Cherry,5,1)</f>
        <v>#NAME?</v>
      </c>
      <c r="J59" s="466" t="e">
        <f>курс_евро*GetThePrice(Кирпич_полнотелый_CRH_RF_250_120_65_мм_гладкий_Cherry,Дата,"Москва",Розничная)</f>
        <v>#NAME?</v>
      </c>
      <c r="K59" s="45" t="e">
        <f t="shared" si="1"/>
        <v>#NAME?</v>
      </c>
      <c r="L59" s="463"/>
      <c r="N59" s="47"/>
      <c r="O59" s="48"/>
    </row>
    <row r="60" spans="1:15" s="167" customFormat="1" ht="13.5" customHeight="1" hidden="1">
      <c r="A60" s="36"/>
      <c r="C60" s="460"/>
      <c r="D60" s="808"/>
      <c r="E60" s="30" t="s">
        <v>448</v>
      </c>
      <c r="F60" s="57" t="s">
        <v>17</v>
      </c>
      <c r="G60" s="466" t="e">
        <f>GetTheUnit(Кирпич_CRH_Half_250_55_65_мм_гладкий_Cherry,166,2)</f>
        <v>#NAME?</v>
      </c>
      <c r="H60" s="43" t="e">
        <f>GetTheUnit(Кирпич_CRH_Half_250_55_65_мм_гладкий_Cherry,998,1)</f>
        <v>#NAME?</v>
      </c>
      <c r="I60" s="43" t="e">
        <f>GetTheUnit(Кирпич_CRH_Half_250_55_65_мм_гладкий_Cherry,5,1)</f>
        <v>#NAME?</v>
      </c>
      <c r="J60" s="466" t="e">
        <f>курс_евро*GetThePrice(Кирпич_CRH_Half_250_55_65_мм_гладкий_Cherry,Дата,"Москва",Розничная)</f>
        <v>#NAME?</v>
      </c>
      <c r="K60" s="45" t="e">
        <f t="shared" si="1"/>
        <v>#NAME?</v>
      </c>
      <c r="L60" s="463"/>
      <c r="N60" s="47"/>
      <c r="O60" s="48"/>
    </row>
    <row r="61" spans="1:15" s="167" customFormat="1" ht="13.5" customHeight="1">
      <c r="A61" s="36"/>
      <c r="C61" s="460"/>
      <c r="D61" s="806" t="s">
        <v>461</v>
      </c>
      <c r="E61" s="465" t="s">
        <v>443</v>
      </c>
      <c r="F61" s="57" t="s">
        <v>17</v>
      </c>
      <c r="G61" s="466" t="e">
        <f>GetTheUnit(Кирпич_CRH_RF_250_120_65_мм_гладкий_Rubin_cieniowany,166,2)</f>
        <v>#NAME?</v>
      </c>
      <c r="H61" s="43" t="e">
        <f>GetTheUnit(Кирпич_CRH_RF_250_120_65_мм_гладкий_Rubin_cieniowany,998,1)</f>
        <v>#NAME?</v>
      </c>
      <c r="I61" s="43" t="e">
        <f>GetTheUnit(Кирпич_CRH_RF_250_120_65_мм_гладкий_Rubin_cieniowany,5,1)</f>
        <v>#NAME?</v>
      </c>
      <c r="J61" s="466" t="e">
        <f>курс_евро*GetThePrice(Кирпич_CRH_RF_250_120_65_мм_гладкий_Rubin_cieniowany,Дата,"Москва",Розничная)</f>
        <v>#NAME?</v>
      </c>
      <c r="K61" s="45" t="e">
        <f t="shared" si="1"/>
        <v>#NAME?</v>
      </c>
      <c r="L61" s="463"/>
      <c r="N61" s="47"/>
      <c r="O61" s="48"/>
    </row>
    <row r="62" spans="1:15" s="167" customFormat="1" ht="13.5" customHeight="1">
      <c r="A62" s="36"/>
      <c r="C62" s="460"/>
      <c r="D62" s="807"/>
      <c r="E62" s="465" t="s">
        <v>443</v>
      </c>
      <c r="F62" s="57" t="s">
        <v>447</v>
      </c>
      <c r="G62" s="466" t="e">
        <f>GetTheUnit(Кирпич_полнотелый_CRH_RF_250_120_65_мм_гладкий_Rubin_cieniowany,166,2)</f>
        <v>#NAME?</v>
      </c>
      <c r="H62" s="43" t="e">
        <f>GetTheUnit(Кирпич_полнотелый_CRH_RF_250_120_65_мм_гладкий_Rubin_cieniowany,998,1)</f>
        <v>#NAME?</v>
      </c>
      <c r="I62" s="43" t="e">
        <f>GetTheUnit(Кирпич_полнотелый_CRH_RF_250_120_65_мм_гладкий_Rubin_cieniowany,5,1)</f>
        <v>#NAME?</v>
      </c>
      <c r="J62" s="466" t="e">
        <f>курс_евро*GetThePrice(Кирпич_полнотелый_CRH_RF_250_120_65_мм_гладкий_Rubin_cieniowany,Дата,"Москва",Розничная)</f>
        <v>#NAME?</v>
      </c>
      <c r="K62" s="45" t="e">
        <f t="shared" si="1"/>
        <v>#NAME?</v>
      </c>
      <c r="L62" s="463"/>
      <c r="N62" s="47"/>
      <c r="O62" s="48"/>
    </row>
    <row r="63" spans="1:15" s="167" customFormat="1" ht="13.5" customHeight="1">
      <c r="A63" s="36"/>
      <c r="C63" s="460"/>
      <c r="D63" s="808"/>
      <c r="E63" s="30" t="s">
        <v>448</v>
      </c>
      <c r="F63" s="57" t="s">
        <v>17</v>
      </c>
      <c r="G63" s="466" t="e">
        <f>GetTheUnit(Кирпич_CRH_Half_250_55_65_мм_гладкий_Rubin_cieniowany,166,2)</f>
        <v>#NAME?</v>
      </c>
      <c r="H63" s="43" t="e">
        <f>GetTheUnit(Кирпич_CRH_Half_250_55_65_мм_гладкий_Rubin_cieniowany,998,1)</f>
        <v>#NAME?</v>
      </c>
      <c r="I63" s="43" t="e">
        <f>GetTheUnit(Кирпич_CRH_Half_250_55_65_мм_гладкий_Rubin_cieniowany,5,1)</f>
        <v>#NAME?</v>
      </c>
      <c r="J63" s="466" t="e">
        <f>курс_евро*GetThePrice(Кирпич_CRH_Half_250_55_65_мм_гладкий_Rubin_cieniowany,Дата,"Москва",Розничная)</f>
        <v>#NAME?</v>
      </c>
      <c r="K63" s="45" t="e">
        <f t="shared" si="1"/>
        <v>#NAME?</v>
      </c>
      <c r="L63" s="463"/>
      <c r="N63" s="47"/>
      <c r="O63" s="48"/>
    </row>
    <row r="64" spans="1:15" s="477" customFormat="1" ht="13.5" customHeight="1">
      <c r="A64" s="36"/>
      <c r="C64" s="478"/>
      <c r="D64" s="798" t="s">
        <v>462</v>
      </c>
      <c r="E64" s="465" t="s">
        <v>443</v>
      </c>
      <c r="F64" s="57" t="s">
        <v>17</v>
      </c>
      <c r="G64" s="466" t="e">
        <f>GetTheUnit(Кирпич_CRH_RF_250_120_65_мм_гладкий_Starobrowarna,166,2)</f>
        <v>#NAME?</v>
      </c>
      <c r="H64" s="43" t="e">
        <f>GetTheUnit(Кирпич_CRH_RF_250_120_65_мм_гладкий_Starobrowarna,998,1)</f>
        <v>#NAME?</v>
      </c>
      <c r="I64" s="43" t="e">
        <f>GetTheUnit(Кирпич_CRH_RF_250_120_65_мм_гладкий_Starobrowarna,5,1)</f>
        <v>#NAME?</v>
      </c>
      <c r="J64" s="466" t="e">
        <f>курс_евро*GetThePrice(Кирпич_CRH_RF_250_120_65_мм_гладкий_Starobrowarna,Дата,"Москва",Розничная)</f>
        <v>#NAME?</v>
      </c>
      <c r="K64" s="45" t="e">
        <f t="shared" si="1"/>
        <v>#NAME?</v>
      </c>
      <c r="L64" s="479"/>
      <c r="N64" s="47"/>
      <c r="O64" s="48"/>
    </row>
    <row r="65" spans="1:15" s="477" customFormat="1" ht="13.5" customHeight="1">
      <c r="A65" s="36"/>
      <c r="C65" s="478"/>
      <c r="D65" s="809"/>
      <c r="E65" s="465" t="s">
        <v>443</v>
      </c>
      <c r="F65" s="57" t="s">
        <v>447</v>
      </c>
      <c r="G65" s="466" t="e">
        <f>GetTheUnit(Кирпич_полнотелый_CRH_RF_250_120_65_мм_гладкий_Starobrowarna,166,2)</f>
        <v>#NAME?</v>
      </c>
      <c r="H65" s="43" t="e">
        <f>GetTheUnit(Кирпич_полнотелый_CRH_RF_250_120_65_мм_гладкий_Starobrowarna,998,1)</f>
        <v>#NAME?</v>
      </c>
      <c r="I65" s="43" t="e">
        <f>GetTheUnit(Кирпич_полнотелый_CRH_RF_250_120_65_мм_гладкий_Starobrowarna,5,1)</f>
        <v>#NAME?</v>
      </c>
      <c r="J65" s="466" t="e">
        <f>курс_евро*GetThePrice(Кирпич_полнотелый_CRH_RF_250_120_65_мм_гладкий_Starobrowarna,Дата,"Москва",Розничная)</f>
        <v>#NAME?</v>
      </c>
      <c r="K65" s="45" t="e">
        <f>J65*H65</f>
        <v>#NAME?</v>
      </c>
      <c r="L65" s="479"/>
      <c r="N65" s="47"/>
      <c r="O65" s="48"/>
    </row>
    <row r="66" spans="1:15" s="477" customFormat="1" ht="13.5" customHeight="1">
      <c r="A66" s="36"/>
      <c r="C66" s="478"/>
      <c r="D66" s="799"/>
      <c r="E66" s="30" t="s">
        <v>448</v>
      </c>
      <c r="F66" s="57" t="s">
        <v>17</v>
      </c>
      <c r="G66" s="466" t="e">
        <f>GetTheUnit(Кирпич_CRH_Half_250_55_65_мм_гладкий_Starobrowarna,166,2)</f>
        <v>#NAME?</v>
      </c>
      <c r="H66" s="43" t="e">
        <f>GetTheUnit(Кирпич_CRH_Half_250_55_65_мм_гладкий_Starobrowarna,998,1)</f>
        <v>#NAME?</v>
      </c>
      <c r="I66" s="43" t="e">
        <f>GetTheUnit(Кирпич_CRH_Half_250_55_65_мм_гладкий_Starobrowarna,5,1)</f>
        <v>#NAME?</v>
      </c>
      <c r="J66" s="466" t="e">
        <f>курс_евро*GetThePrice(Кирпич_CRH_Half_250_55_65_мм_гладкий_Starobrowarna,Дата,"Москва",Розничная)</f>
        <v>#NAME?</v>
      </c>
      <c r="K66" s="45" t="e">
        <f>J66*H66</f>
        <v>#NAME?</v>
      </c>
      <c r="L66" s="479"/>
      <c r="N66" s="47"/>
      <c r="O66" s="48"/>
    </row>
    <row r="67" spans="1:15" s="167" customFormat="1" ht="13.5" customHeight="1">
      <c r="A67" s="36"/>
      <c r="C67" s="460"/>
      <c r="D67" s="806" t="s">
        <v>463</v>
      </c>
      <c r="E67" s="465" t="s">
        <v>443</v>
      </c>
      <c r="F67" s="57" t="s">
        <v>17</v>
      </c>
      <c r="G67" s="466" t="e">
        <f>GetTheUnit(Кирпич_CRH_RF_250_120_65_мм_гладкий_Gotika,166,2)</f>
        <v>#NAME?</v>
      </c>
      <c r="H67" s="43" t="e">
        <f>GetTheUnit(Кирпич_CRH_RF_250_120_65_мм_гладкий_Gotika,998,1)</f>
        <v>#NAME?</v>
      </c>
      <c r="I67" s="43" t="e">
        <f>GetTheUnit(Кирпич_CRH_RF_250_120_65_мм_гладкий_Gotika,5,1)</f>
        <v>#NAME?</v>
      </c>
      <c r="J67" s="466" t="e">
        <f>курс_евро*GetThePrice(Кирпич_CRH_RF_250_120_65_мм_гладкий_Gotika,Дата,"Москва",Розничная)</f>
        <v>#NAME?</v>
      </c>
      <c r="K67" s="45" t="e">
        <f>J67*H67</f>
        <v>#NAME?</v>
      </c>
      <c r="L67" s="463"/>
      <c r="N67" s="47"/>
      <c r="O67" s="48"/>
    </row>
    <row r="68" spans="1:15" s="167" customFormat="1" ht="13.5" customHeight="1">
      <c r="A68" s="36"/>
      <c r="C68" s="460"/>
      <c r="D68" s="807"/>
      <c r="E68" s="465" t="s">
        <v>443</v>
      </c>
      <c r="F68" s="57" t="s">
        <v>447</v>
      </c>
      <c r="G68" s="466" t="e">
        <f>GetTheUnit(Кирпич_полнотелый_CRH_RF_250_120_65_мм_гладкий_Gotika,166,2)</f>
        <v>#NAME?</v>
      </c>
      <c r="H68" s="43" t="e">
        <f>GetTheUnit(Кирпич_полнотелый_CRH_RF_250_120_65_мм_гладкий_Gotika,998,1)</f>
        <v>#NAME?</v>
      </c>
      <c r="I68" s="43" t="e">
        <f>GetTheUnit(Кирпич_полнотелый_CRH_RF_250_120_65_мм_гладкий_Gotika,5,1)</f>
        <v>#NAME?</v>
      </c>
      <c r="J68" s="466" t="e">
        <f>курс_евро*GetThePrice(Кирпич_полнотелый_CRH_RF_250_120_65_мм_гладкий_Gotika,Дата,"Москва",Розничная)</f>
        <v>#NAME?</v>
      </c>
      <c r="K68" s="45" t="e">
        <f>J68*H68</f>
        <v>#NAME?</v>
      </c>
      <c r="L68" s="463"/>
      <c r="N68" s="47"/>
      <c r="O68" s="48"/>
    </row>
    <row r="69" spans="1:15" s="167" customFormat="1" ht="13.5" customHeight="1">
      <c r="A69" s="36"/>
      <c r="C69" s="460"/>
      <c r="D69" s="808"/>
      <c r="E69" s="30" t="s">
        <v>448</v>
      </c>
      <c r="F69" s="57" t="s">
        <v>17</v>
      </c>
      <c r="G69" s="466" t="e">
        <f>GetTheUnit(Кирпич_CRH_Half_250_55_65_мм_гладкий_Gotika,166,2)</f>
        <v>#NAME?</v>
      </c>
      <c r="H69" s="43" t="e">
        <f>GetTheUnit(Кирпич_CRH_Half_250_55_65_мм_гладкий_Gotika,998,1)</f>
        <v>#NAME?</v>
      </c>
      <c r="I69" s="43" t="e">
        <f>GetTheUnit(Кирпич_CRH_Half_250_55_65_мм_гладкий_Gotika,5,1)</f>
        <v>#NAME?</v>
      </c>
      <c r="J69" s="466" t="e">
        <f>курс_евро*GetThePrice(Кирпич_CRH_Half_250_55_65_мм_гладкий_Gotika,Дата,"Москва",Розничная)</f>
        <v>#NAME?</v>
      </c>
      <c r="K69" s="45" t="e">
        <f>J69*H69</f>
        <v>#NAME?</v>
      </c>
      <c r="L69" s="463"/>
      <c r="N69" s="47"/>
      <c r="O69" s="48"/>
    </row>
    <row r="70" spans="1:15" s="468" customFormat="1" ht="15.75" customHeight="1">
      <c r="A70" s="467"/>
      <c r="C70" s="469"/>
      <c r="D70" s="461" t="s">
        <v>464</v>
      </c>
      <c r="E70" s="470"/>
      <c r="F70" s="470"/>
      <c r="G70" s="471"/>
      <c r="H70" s="472"/>
      <c r="I70" s="473"/>
      <c r="J70" s="470"/>
      <c r="K70" s="470"/>
      <c r="L70" s="474"/>
      <c r="N70" s="475"/>
      <c r="O70" s="476"/>
    </row>
    <row r="71" spans="1:15" s="167" customFormat="1" ht="13.5" customHeight="1" hidden="1">
      <c r="A71" s="36"/>
      <c r="C71" s="460"/>
      <c r="D71" s="806" t="s">
        <v>465</v>
      </c>
      <c r="E71" s="465" t="s">
        <v>443</v>
      </c>
      <c r="F71" s="57" t="s">
        <v>17</v>
      </c>
      <c r="G71" s="466" t="e">
        <f>GetTheUnit(Кирпич_CRH_RF_250_120_65_мм_гладкий_Super,166,2)</f>
        <v>#NAME?</v>
      </c>
      <c r="H71" s="43" t="e">
        <f>GetTheUnit(Кирпич_CRH_RF_250_120_65_мм_гладкий_Super,998,1)</f>
        <v>#NAME?</v>
      </c>
      <c r="I71" s="43" t="e">
        <f>GetTheUnit(Кирпич_CRH_RF_250_120_65_мм_гладкий_Super,5,1)</f>
        <v>#NAME?</v>
      </c>
      <c r="J71" s="466" t="e">
        <f>курс_евро*GetThePrice(Кирпич_CRH_RF_250_120_65_мм_гладкий_Super,Дата,"Москва",Розничная)</f>
        <v>#NAME?</v>
      </c>
      <c r="K71" s="45" t="e">
        <f>J71*H71</f>
        <v>#NAME?</v>
      </c>
      <c r="L71" s="463"/>
      <c r="N71" s="47"/>
      <c r="O71" s="48"/>
    </row>
    <row r="72" spans="1:15" s="167" customFormat="1" ht="13.5" customHeight="1" hidden="1">
      <c r="A72" s="36"/>
      <c r="C72" s="460"/>
      <c r="D72" s="807"/>
      <c r="E72" s="465" t="s">
        <v>443</v>
      </c>
      <c r="F72" s="57" t="s">
        <v>446</v>
      </c>
      <c r="G72" s="466" t="e">
        <f>GetTheUnit(Кирпич_пятищелевой_CRH_RF_250_120_65_мм_гладкий_Super,166,2)</f>
        <v>#NAME?</v>
      </c>
      <c r="H72" s="43" t="e">
        <f>GetTheUnit(Кирпич_пятищелевой_CRH_RF_250_120_65_мм_гладкий_Super,998,1)</f>
        <v>#NAME?</v>
      </c>
      <c r="I72" s="43" t="e">
        <f>GetTheUnit(Кирпич_пятищелевой_CRH_RF_250_120_65_мм_гладкий_Super,5,1)</f>
        <v>#NAME?</v>
      </c>
      <c r="J72" s="466" t="e">
        <f>курс_евро*GetThePrice(Кирпич_пятищелевой_CRH_RF_250_120_65_мм_гладкий_Super,Дата,"Москва",Розничная)</f>
        <v>#NAME?</v>
      </c>
      <c r="K72" s="45" t="e">
        <f t="shared" si="1"/>
        <v>#NAME?</v>
      </c>
      <c r="L72" s="463"/>
      <c r="N72" s="47"/>
      <c r="O72" s="48"/>
    </row>
    <row r="73" spans="1:15" s="167" customFormat="1" ht="13.5" customHeight="1" hidden="1">
      <c r="A73" s="36"/>
      <c r="C73" s="460"/>
      <c r="D73" s="808"/>
      <c r="E73" s="30" t="s">
        <v>448</v>
      </c>
      <c r="F73" s="57" t="s">
        <v>17</v>
      </c>
      <c r="G73" s="466" t="e">
        <f>GetTheUnit(Кирпич_CRH_Half_250_55_65_мм_гладкий_Super,166,2)</f>
        <v>#NAME?</v>
      </c>
      <c r="H73" s="43" t="e">
        <f>GetTheUnit(Кирпич_CRH_Half_250_55_65_мм_гладкий_Super,998,1)</f>
        <v>#NAME?</v>
      </c>
      <c r="I73" s="43" t="e">
        <f>GetTheUnit(Кирпич_CRH_Half_250_55_65_мм_гладкий_Super,5,1)</f>
        <v>#NAME?</v>
      </c>
      <c r="J73" s="466" t="e">
        <f>курс_евро*GetThePrice(Кирпич_CRH_Half_250_55_65_мм_гладкий_Super,Дата,"Москва",Розничная)</f>
        <v>#NAME?</v>
      </c>
      <c r="K73" s="45" t="e">
        <f t="shared" si="1"/>
        <v>#NAME?</v>
      </c>
      <c r="L73" s="463"/>
      <c r="N73" s="47"/>
      <c r="O73" s="48"/>
    </row>
    <row r="74" spans="1:15" s="167" customFormat="1" ht="13.5" customHeight="1" hidden="1">
      <c r="A74" s="36"/>
      <c r="C74" s="460"/>
      <c r="D74" s="806" t="s">
        <v>466</v>
      </c>
      <c r="E74" s="465" t="s">
        <v>443</v>
      </c>
      <c r="F74" s="57" t="s">
        <v>17</v>
      </c>
      <c r="G74" s="466" t="e">
        <f>GetTheUnit(Кирпич_CRH_RF_250_120_65_мм_гладкий_Pegaz_N,166,2)</f>
        <v>#NAME?</v>
      </c>
      <c r="H74" s="43" t="e">
        <f>GetTheUnit(Кирпич_CRH_RF_250_120_65_мм_гладкий_Pegaz_N,998,1)</f>
        <v>#NAME?</v>
      </c>
      <c r="I74" s="43" t="e">
        <f>GetTheUnit(Кирпич_CRH_RF_250_120_65_мм_гладкий_Pegaz_N,5,1)</f>
        <v>#NAME?</v>
      </c>
      <c r="J74" s="466" t="e">
        <f>курс_евро*GetThePrice(Кирпич_CRH_RF_250_120_65_мм_гладкий_Pegaz_N,Дата,"Москва",Розничная)</f>
        <v>#NAME?</v>
      </c>
      <c r="K74" s="45" t="e">
        <f t="shared" si="1"/>
        <v>#NAME?</v>
      </c>
      <c r="L74" s="463"/>
      <c r="N74" s="47"/>
      <c r="O74" s="48"/>
    </row>
    <row r="75" spans="1:15" s="167" customFormat="1" ht="13.5" customHeight="1" hidden="1">
      <c r="A75" s="36"/>
      <c r="C75" s="460"/>
      <c r="D75" s="807"/>
      <c r="E75" s="465" t="s">
        <v>443</v>
      </c>
      <c r="F75" s="57" t="s">
        <v>447</v>
      </c>
      <c r="G75" s="466" t="e">
        <f>GetTheUnit(Кирпич_полнотелый_CRH_RF_250_120_65_мм_гладкий_Pegaz_N,166,2)</f>
        <v>#NAME?</v>
      </c>
      <c r="H75" s="43" t="e">
        <f>GetTheUnit(Кирпич_полнотелый_CRH_RF_250_120_65_мм_гладкий_Pegaz_N,998,1)</f>
        <v>#NAME?</v>
      </c>
      <c r="I75" s="43" t="e">
        <f>GetTheUnit(Кирпич_полнотелый_CRH_RF_250_120_65_мм_гладкий_Pegaz_N,5,1)</f>
        <v>#NAME?</v>
      </c>
      <c r="J75" s="466" t="e">
        <f>курс_евро*GetThePrice(Кирпич_полнотелый_CRH_RF_250_120_65_мм_гладкий_Pegaz_N,Дата,"Москва",Розничная)</f>
        <v>#NAME?</v>
      </c>
      <c r="K75" s="45" t="e">
        <f t="shared" si="1"/>
        <v>#NAME?</v>
      </c>
      <c r="L75" s="463"/>
      <c r="N75" s="47"/>
      <c r="O75" s="48"/>
    </row>
    <row r="76" spans="1:15" s="167" customFormat="1" ht="13.5" customHeight="1">
      <c r="A76" s="36"/>
      <c r="C76" s="460"/>
      <c r="D76" s="806" t="s">
        <v>467</v>
      </c>
      <c r="E76" s="465" t="s">
        <v>443</v>
      </c>
      <c r="F76" s="57" t="s">
        <v>22</v>
      </c>
      <c r="G76" s="466" t="e">
        <f>GetTheUnit(Кирпич_CRH_RF_250_120_65_мм_гладкий_Rustica,166,2)</f>
        <v>#NAME?</v>
      </c>
      <c r="H76" s="43" t="e">
        <f>GetTheUnit(Кирпич_CRH_RF_250_120_65_мм_гладкий_Rustica,998,1)</f>
        <v>#NAME?</v>
      </c>
      <c r="I76" s="43" t="e">
        <f>GetTheUnit(Кирпич_CRH_RF_250_120_65_мм_гладкий_Rustica,5,1)</f>
        <v>#NAME?</v>
      </c>
      <c r="J76" s="466" t="e">
        <f>курс_евро*GetThePrice(Кирпич_CRH_RF_250_120_65_мм_гладкий_Rustica,Дата,"Москва",Розничная)</f>
        <v>#NAME?</v>
      </c>
      <c r="K76" s="45" t="e">
        <f>J76*H76</f>
        <v>#NAME?</v>
      </c>
      <c r="L76" s="463"/>
      <c r="N76" s="47"/>
      <c r="O76" s="48"/>
    </row>
    <row r="77" spans="1:15" s="167" customFormat="1" ht="12.75" customHeight="1">
      <c r="A77" s="36"/>
      <c r="C77" s="460"/>
      <c r="D77" s="807"/>
      <c r="E77" s="465" t="s">
        <v>443</v>
      </c>
      <c r="F77" s="57" t="s">
        <v>468</v>
      </c>
      <c r="G77" s="466" t="e">
        <f>GetTheUnit(Кирпич_пятищелевой_CRH_RF_250_120_65_мм_структурированный_Rustica,166,2)</f>
        <v>#NAME?</v>
      </c>
      <c r="H77" s="43" t="e">
        <f>GetTheUnit(Кирпич_пятищелевой_CRH_RF_250_120_65_мм_структурированный_Rustica,998,1)</f>
        <v>#NAME?</v>
      </c>
      <c r="I77" s="43" t="e">
        <f>GetTheUnit(Кирпич_пятищелевой_CRH_RF_250_120_65_мм_структурированный_Rustica,5,1)</f>
        <v>#NAME?</v>
      </c>
      <c r="J77" s="466" t="e">
        <f>курс_евро*GetThePrice(Кирпич_пятищелевой_CRH_RF_250_120_65_мм_структурированный_Rustica,Дата,"Москва",Розничная)</f>
        <v>#NAME?</v>
      </c>
      <c r="K77" s="45" t="e">
        <f t="shared" si="1"/>
        <v>#NAME?</v>
      </c>
      <c r="L77" s="463"/>
      <c r="N77" s="47"/>
      <c r="O77" s="48"/>
    </row>
    <row r="78" spans="1:15" s="167" customFormat="1" ht="13.5" customHeight="1">
      <c r="A78" s="36"/>
      <c r="C78" s="460"/>
      <c r="D78" s="806" t="s">
        <v>469</v>
      </c>
      <c r="E78" s="465" t="s">
        <v>443</v>
      </c>
      <c r="F78" s="57" t="s">
        <v>22</v>
      </c>
      <c r="G78" s="466" t="e">
        <f>GetTheUnit(Кирпич_CRH_RF_250_120_65_мм_гладкий_Antica,166,2)</f>
        <v>#NAME?</v>
      </c>
      <c r="H78" s="43" t="e">
        <f>GetTheUnit(Кирпич_CRH_RF_250_120_65_мм_гладкий_Antica,998,1)</f>
        <v>#NAME?</v>
      </c>
      <c r="I78" s="43" t="e">
        <f>GetTheUnit(Кирпич_CRH_RF_250_120_65_мм_гладкий_Antica,5,1)</f>
        <v>#NAME?</v>
      </c>
      <c r="J78" s="466" t="e">
        <f>курс_евро*GetThePrice(Кирпич_CRH_RF_250_120_65_мм_гладкий_Antica,Дата,"Москва",Розничная)</f>
        <v>#NAME?</v>
      </c>
      <c r="K78" s="45" t="e">
        <f>J78*H78</f>
        <v>#NAME?</v>
      </c>
      <c r="L78" s="463"/>
      <c r="N78" s="47"/>
      <c r="O78" s="48"/>
    </row>
    <row r="79" spans="1:15" s="167" customFormat="1" ht="13.5" customHeight="1">
      <c r="A79" s="36"/>
      <c r="C79" s="460"/>
      <c r="D79" s="808"/>
      <c r="E79" s="465" t="s">
        <v>443</v>
      </c>
      <c r="F79" s="57" t="s">
        <v>468</v>
      </c>
      <c r="G79" s="466" t="e">
        <f>GetTheUnit(Кирпич_пятищелевой_CRH_RF_250_120_65_мм_структурированный_Antica,166,2)</f>
        <v>#NAME?</v>
      </c>
      <c r="H79" s="43" t="e">
        <f>GetTheUnit(Кирпич_пятищелевой_CRH_RF_250_120_65_мм_структурированный_Antica,998,1)</f>
        <v>#NAME?</v>
      </c>
      <c r="I79" s="43" t="e">
        <f>GetTheUnit(Кирпич_пятищелевой_CRH_RF_250_120_65_мм_структурированный_Antica,5,1)</f>
        <v>#NAME?</v>
      </c>
      <c r="J79" s="466" t="e">
        <f>курс_евро*GetThePrice(Кирпич_пятищелевой_CRH_RF_250_120_65_мм_структурированный_Antica,Дата,"Москва",Розничная)</f>
        <v>#NAME?</v>
      </c>
      <c r="K79" s="45" t="e">
        <f t="shared" si="1"/>
        <v>#NAME?</v>
      </c>
      <c r="L79" s="463"/>
      <c r="N79" s="47"/>
      <c r="O79" s="48"/>
    </row>
    <row r="80" spans="1:15" s="167" customFormat="1" ht="13.5" customHeight="1" hidden="1">
      <c r="A80" s="36"/>
      <c r="C80" s="460"/>
      <c r="D80" s="464" t="s">
        <v>470</v>
      </c>
      <c r="E80" s="465" t="s">
        <v>443</v>
      </c>
      <c r="F80" s="57" t="s">
        <v>22</v>
      </c>
      <c r="G80" s="466" t="e">
        <f>GetTheUnit(Кирпич_CRH_RF_250_120_65_мм_структурированный_Colorado,166,2)</f>
        <v>#NAME?</v>
      </c>
      <c r="H80" s="43" t="e">
        <f>GetTheUnit(Кирпич_CRH_RF_250_120_65_мм_структурированный_Colorado,998,1)</f>
        <v>#NAME?</v>
      </c>
      <c r="I80" s="43" t="e">
        <f>GetTheUnit(Кирпич_CRH_RF_250_120_65_мм_структурированный_Colorado,5,1)</f>
        <v>#NAME?</v>
      </c>
      <c r="J80" s="466" t="e">
        <f>курс_евро*GetThePrice(Кирпич_CRH_RF_250_120_65_мм_структурированный_Colorado,Дата,"Москва",Розничная)</f>
        <v>#NAME?</v>
      </c>
      <c r="K80" s="45" t="e">
        <f>J80*H80</f>
        <v>#NAME?</v>
      </c>
      <c r="L80" s="463"/>
      <c r="N80" s="47"/>
      <c r="O80" s="48"/>
    </row>
    <row r="81" spans="1:15" s="167" customFormat="1" ht="13.5" customHeight="1">
      <c r="A81" s="36"/>
      <c r="C81" s="460"/>
      <c r="D81" s="806" t="s">
        <v>471</v>
      </c>
      <c r="E81" s="465" t="s">
        <v>443</v>
      </c>
      <c r="F81" s="57" t="s">
        <v>17</v>
      </c>
      <c r="G81" s="466" t="e">
        <f>GetTheUnit(Кирпич_CRH_RF_250_120_65_мм_гладкий_Etna,166,2)</f>
        <v>#NAME?</v>
      </c>
      <c r="H81" s="43" t="e">
        <f>GetTheUnit(Кирпич_CRH_RF_250_120_65_мм_гладкий_Etna,998,1)</f>
        <v>#NAME?</v>
      </c>
      <c r="I81" s="43" t="e">
        <f>GetTheUnit(Кирпич_CRH_RF_250_120_65_мм_гладкий_Etna,5,1)</f>
        <v>#NAME?</v>
      </c>
      <c r="J81" s="466" t="e">
        <f>курс_евро*GetThePrice(Кирпич_CRH_RF_250_120_65_мм_гладкий_Etna,Дата,"Москва",Розничная)</f>
        <v>#NAME?</v>
      </c>
      <c r="K81" s="45" t="e">
        <f>J81*H81</f>
        <v>#NAME?</v>
      </c>
      <c r="L81" s="463"/>
      <c r="N81" s="47"/>
      <c r="O81" s="48"/>
    </row>
    <row r="82" spans="1:15" s="167" customFormat="1" ht="13.5" customHeight="1">
      <c r="A82" s="36"/>
      <c r="C82" s="460"/>
      <c r="D82" s="807"/>
      <c r="E82" s="465" t="s">
        <v>443</v>
      </c>
      <c r="F82" s="57" t="s">
        <v>446</v>
      </c>
      <c r="G82" s="466" t="e">
        <f>GetTheUnit(Кирпич_пятищелевой_CRH_RF_250_120_65_мм_гладкий_Etna,166,2)</f>
        <v>#NAME?</v>
      </c>
      <c r="H82" s="43" t="e">
        <f>GetTheUnit(Кирпич_пятищелевой_CRH_RF_250_120_65_мм_гладкий_Etna,998,1)</f>
        <v>#NAME?</v>
      </c>
      <c r="I82" s="70" t="s">
        <v>472</v>
      </c>
      <c r="J82" s="466" t="e">
        <f>курс_евро*GetThePrice(Кирпич_пятищелевой_CRH_RF_250_120_65_мм_гладкий_Etna,Дата,"Москва",Розничная)</f>
        <v>#NAME?</v>
      </c>
      <c r="K82" s="45" t="e">
        <f>J82*H82</f>
        <v>#NAME?</v>
      </c>
      <c r="L82" s="463"/>
      <c r="N82" s="47"/>
      <c r="O82" s="48"/>
    </row>
    <row r="83" spans="1:15" s="167" customFormat="1" ht="13.5" customHeight="1">
      <c r="A83" s="36"/>
      <c r="C83" s="460"/>
      <c r="D83" s="807"/>
      <c r="E83" s="465" t="s">
        <v>443</v>
      </c>
      <c r="F83" s="57" t="s">
        <v>447</v>
      </c>
      <c r="G83" s="466" t="e">
        <f>GetTheUnit(Кирпич_полнотелый_CRH_RF_250_120_65_мм_гладкий_Etna,166,2)</f>
        <v>#NAME?</v>
      </c>
      <c r="H83" s="43" t="e">
        <f>GetTheUnit(Кирпич_полнотелый_CRH_RF_250_120_65_мм_гладкий_Etna,998,1)</f>
        <v>#NAME?</v>
      </c>
      <c r="I83" s="70" t="s">
        <v>472</v>
      </c>
      <c r="J83" s="466" t="e">
        <f>курс_евро*GetThePrice(Кирпич_полнотелый_CRH_RF_250_120_65_мм_гладкий_Etna,Дата,"Москва",Розничная)</f>
        <v>#NAME?</v>
      </c>
      <c r="K83" s="45" t="e">
        <f aca="true" t="shared" si="2" ref="K83:K92">J83*H83</f>
        <v>#NAME?</v>
      </c>
      <c r="L83" s="463"/>
      <c r="N83" s="47"/>
      <c r="O83" s="48"/>
    </row>
    <row r="84" spans="1:15" s="167" customFormat="1" ht="13.5" customHeight="1">
      <c r="A84" s="36"/>
      <c r="C84" s="460"/>
      <c r="D84" s="808"/>
      <c r="E84" s="30" t="s">
        <v>448</v>
      </c>
      <c r="F84" s="57" t="s">
        <v>17</v>
      </c>
      <c r="G84" s="466" t="e">
        <f>GetTheUnit(Кирпич_CRH_Half_250_55_65_мм_гладкий_Etna,166,2)</f>
        <v>#NAME?</v>
      </c>
      <c r="H84" s="43" t="e">
        <f>GetTheUnit(Кирпич_CRH_Half_250_55_65_мм_гладкий_Etna,998,1)</f>
        <v>#NAME?</v>
      </c>
      <c r="I84" s="43" t="e">
        <f>GetTheUnit(Кирпич_CRH_Half_250_55_65_мм_гладкий_Etna,5,1)</f>
        <v>#NAME?</v>
      </c>
      <c r="J84" s="466" t="e">
        <f>курс_евро*GetThePrice(Кирпич_CRH_Half_250_55_65_мм_гладкий_Etna,Дата,"Москва",Розничная)</f>
        <v>#NAME?</v>
      </c>
      <c r="K84" s="45" t="e">
        <f t="shared" si="2"/>
        <v>#NAME?</v>
      </c>
      <c r="L84" s="463"/>
      <c r="N84" s="47"/>
      <c r="O84" s="48"/>
    </row>
    <row r="85" spans="1:15" s="167" customFormat="1" ht="13.5" customHeight="1">
      <c r="A85" s="36"/>
      <c r="C85" s="460"/>
      <c r="D85" s="806" t="s">
        <v>473</v>
      </c>
      <c r="E85" s="465" t="s">
        <v>443</v>
      </c>
      <c r="F85" s="57" t="s">
        <v>22</v>
      </c>
      <c r="G85" s="466" t="e">
        <f>GetTheUnit(Кирпич_CRH_RF_250_120_65_мм_гладкий_Classic,166,2)</f>
        <v>#NAME?</v>
      </c>
      <c r="H85" s="43" t="e">
        <f>GetTheUnit(Кирпич_CRH_RF_250_120_65_мм_гладкий_Classic,998,1)</f>
        <v>#NAME?</v>
      </c>
      <c r="I85" s="43" t="e">
        <f>GetTheUnit(Кирпич_CRH_RF_250_120_65_мм_гладкий_Classic,5,1)</f>
        <v>#NAME?</v>
      </c>
      <c r="J85" s="466" t="e">
        <f>курс_евро*GetThePrice(Кирпич_CRH_RF_250_120_65_мм_гладкий_Classic,Дата,"Москва",Розничная)</f>
        <v>#NAME?</v>
      </c>
      <c r="K85" s="45" t="e">
        <f>J85*H85</f>
        <v>#NAME?</v>
      </c>
      <c r="L85" s="463"/>
      <c r="N85" s="47"/>
      <c r="O85" s="48"/>
    </row>
    <row r="86" spans="1:15" s="167" customFormat="1" ht="13.5" customHeight="1">
      <c r="A86" s="36"/>
      <c r="C86" s="460"/>
      <c r="D86" s="807"/>
      <c r="E86" s="465" t="s">
        <v>443</v>
      </c>
      <c r="F86" s="57" t="s">
        <v>468</v>
      </c>
      <c r="G86" s="466" t="e">
        <f>GetTheUnit(Кирпич_пятищелевой_CRH_RF_250_120_65_мм_структурированный_Classic,166,2)</f>
        <v>#NAME?</v>
      </c>
      <c r="H86" s="43" t="e">
        <f>GetTheUnit(Кирпич_пятищелевой_CRH_RF_250_120_65_мм_структурированный_Classic,998,1)</f>
        <v>#NAME?</v>
      </c>
      <c r="I86" s="43" t="e">
        <f>GetTheUnit(Кирпич_пятищелевой_CRH_RF_250_120_65_мм_структурированный_Classic,5,1)</f>
        <v>#NAME?</v>
      </c>
      <c r="J86" s="466" t="e">
        <f>курс_евро*GetThePrice(Кирпич_пятищелевой_CRH_RF_250_120_65_мм_структурированный_Classic,Дата,"Москва",Розничная)</f>
        <v>#NAME?</v>
      </c>
      <c r="K86" s="45" t="e">
        <f t="shared" si="2"/>
        <v>#NAME?</v>
      </c>
      <c r="L86" s="463"/>
      <c r="N86" s="47"/>
      <c r="O86" s="48"/>
    </row>
    <row r="87" spans="1:15" s="167" customFormat="1" ht="13.5" customHeight="1">
      <c r="A87" s="36"/>
      <c r="C87" s="460"/>
      <c r="D87" s="807"/>
      <c r="E87" s="465" t="s">
        <v>443</v>
      </c>
      <c r="F87" s="57" t="s">
        <v>444</v>
      </c>
      <c r="G87" s="466" t="e">
        <f>GetTheUnit(Кирпич_полнотелый_CRH_RF_250_120_65_мм_структурированный_Classic,166,2)</f>
        <v>#NAME?</v>
      </c>
      <c r="H87" s="43" t="e">
        <f>GetTheUnit(Кирпич_полнотелый_CRH_RF_250_120_65_мм_структурированный_Classic,998,1)</f>
        <v>#NAME?</v>
      </c>
      <c r="I87" s="43" t="e">
        <f>GetTheUnit(Кирпич_полнотелый_CRH_RF_250_120_65_мм_структурированный_Classic,5,1)</f>
        <v>#NAME?</v>
      </c>
      <c r="J87" s="466" t="e">
        <f>курс_евро*GetThePrice(Кирпич_полнотелый_CRH_RF_250_120_65_мм_структурированный_Classic,Дата,"Москва",Розничная)</f>
        <v>#NAME?</v>
      </c>
      <c r="K87" s="45" t="e">
        <f t="shared" si="2"/>
        <v>#NAME?</v>
      </c>
      <c r="L87" s="463"/>
      <c r="N87" s="47"/>
      <c r="O87" s="48"/>
    </row>
    <row r="88" spans="1:15" s="167" customFormat="1" ht="14.25" customHeight="1">
      <c r="A88" s="36"/>
      <c r="C88" s="460"/>
      <c r="D88" s="808"/>
      <c r="E88" s="30" t="s">
        <v>448</v>
      </c>
      <c r="F88" s="57" t="s">
        <v>22</v>
      </c>
      <c r="G88" s="466" t="e">
        <f>GetTheUnit(Кирпич_CRH_Half_250_55_65_мм_структурированный_Classic,166,2)</f>
        <v>#NAME?</v>
      </c>
      <c r="H88" s="43" t="e">
        <f>GetTheUnit(Кирпич_CRH_Half_250_55_65_мм_структурированный_Classic,998,1)</f>
        <v>#NAME?</v>
      </c>
      <c r="I88" s="43" t="e">
        <f>GetTheUnit(Кирпич_CRH_Half_250_55_65_мм_структурированный_Classic,5,1)</f>
        <v>#NAME?</v>
      </c>
      <c r="J88" s="466" t="e">
        <f>курс_евро*GetThePrice(Кирпич_CRH_Half_250_55_65_мм_структурированный_Classic,Дата,"Москва",Розничная)</f>
        <v>#NAME?</v>
      </c>
      <c r="K88" s="45" t="e">
        <f t="shared" si="2"/>
        <v>#NAME?</v>
      </c>
      <c r="L88" s="463"/>
      <c r="N88" s="47"/>
      <c r="O88" s="48"/>
    </row>
    <row r="89" spans="1:15" s="167" customFormat="1" ht="13.5" customHeight="1">
      <c r="A89" s="36"/>
      <c r="C89" s="460"/>
      <c r="D89" s="806" t="s">
        <v>474</v>
      </c>
      <c r="E89" s="465" t="s">
        <v>443</v>
      </c>
      <c r="F89" s="57" t="s">
        <v>17</v>
      </c>
      <c r="G89" s="466" t="e">
        <f>GetTheUnit(Кирпич_CRH_RF_250_120_65_мм_гладкий_Luna,166,2)</f>
        <v>#NAME?</v>
      </c>
      <c r="H89" s="43" t="e">
        <f>GetTheUnit(Кирпич_CRH_RF_250_120_65_мм_гладкий_Luna,998,1)</f>
        <v>#NAME?</v>
      </c>
      <c r="I89" s="43" t="e">
        <f>GetTheUnit(Кирпич_CRH_RF_250_120_65_мм_гладкий_Luna,5,1)</f>
        <v>#NAME?</v>
      </c>
      <c r="J89" s="466" t="e">
        <f>курс_евро*GetThePrice(Кирпич_CRH_RF_250_120_65_мм_гладкий_Luna,Дата,"Москва",Розничная)</f>
        <v>#NAME?</v>
      </c>
      <c r="K89" s="45" t="e">
        <f>J89*H89</f>
        <v>#NAME?</v>
      </c>
      <c r="L89" s="463"/>
      <c r="N89" s="47"/>
      <c r="O89" s="48"/>
    </row>
    <row r="90" spans="1:15" s="167" customFormat="1" ht="13.5" customHeight="1">
      <c r="A90" s="36"/>
      <c r="C90" s="460"/>
      <c r="D90" s="807"/>
      <c r="E90" s="465" t="s">
        <v>443</v>
      </c>
      <c r="F90" s="57" t="s">
        <v>447</v>
      </c>
      <c r="G90" s="466" t="e">
        <f>GetTheUnit(Кирпич_полнотелый_CRH_RF_250_120_65_мм_гладкий_Luna,166,2)</f>
        <v>#NAME?</v>
      </c>
      <c r="H90" s="43" t="e">
        <f>GetTheUnit(Кирпич_полнотелый_CRH_RF_250_120_65_мм_гладкий_Luna,998,1)</f>
        <v>#NAME?</v>
      </c>
      <c r="I90" s="480" t="s">
        <v>472</v>
      </c>
      <c r="J90" s="466" t="e">
        <f>курс_евро*GetThePrice(Кирпич_полнотелый_CRH_RF_250_120_65_мм_гладкий_Luna,Дата,"Москва",Розничная)</f>
        <v>#NAME?</v>
      </c>
      <c r="K90" s="45" t="e">
        <f>J90*H90</f>
        <v>#NAME?</v>
      </c>
      <c r="L90" s="463"/>
      <c r="N90" s="47"/>
      <c r="O90" s="48"/>
    </row>
    <row r="91" spans="1:15" s="167" customFormat="1" ht="13.5" customHeight="1">
      <c r="A91" s="36"/>
      <c r="C91" s="460"/>
      <c r="D91" s="808"/>
      <c r="E91" s="30" t="s">
        <v>448</v>
      </c>
      <c r="F91" s="57" t="s">
        <v>17</v>
      </c>
      <c r="G91" s="466" t="e">
        <f>GetTheUnit(Кирпич_CRH_Half_250_55_65_мм_гладкий_Luna,166,2)</f>
        <v>#NAME?</v>
      </c>
      <c r="H91" s="43" t="e">
        <f>GetTheUnit(Кирпич_CRH_Half_250_55_65_мм_гладкий_Luna,998,1)</f>
        <v>#NAME?</v>
      </c>
      <c r="I91" s="480" t="s">
        <v>475</v>
      </c>
      <c r="J91" s="466" t="e">
        <f>курс_евро*GetThePrice(Кирпич_CRH_Half_250_55_65_мм_гладкий_Luna,Дата,"Москва",Розничная)</f>
        <v>#NAME?</v>
      </c>
      <c r="K91" s="45" t="e">
        <f>J91*H91</f>
        <v>#NAME?</v>
      </c>
      <c r="L91" s="463"/>
      <c r="N91" s="47"/>
      <c r="O91" s="48"/>
    </row>
    <row r="92" spans="1:15" s="167" customFormat="1" ht="13.5" customHeight="1" hidden="1">
      <c r="A92" s="36"/>
      <c r="C92" s="460"/>
      <c r="D92" s="464" t="s">
        <v>476</v>
      </c>
      <c r="E92" s="465" t="s">
        <v>443</v>
      </c>
      <c r="F92" s="57" t="s">
        <v>17</v>
      </c>
      <c r="G92" s="466" t="e">
        <f>GetTheUnit(Кирпич_CRH_RF_250_120_65_мм_гладкий_Supernova,166,2)</f>
        <v>#NAME?</v>
      </c>
      <c r="H92" s="43" t="e">
        <f>GetTheUnit(Кирпич_CRH_RF_250_120_65_мм_гладкий_Supernova,998,1)</f>
        <v>#NAME?</v>
      </c>
      <c r="I92" s="480">
        <v>424</v>
      </c>
      <c r="J92" s="466" t="e">
        <f>курс_евро*GetThePrice(Кирпич_CRH_RF_250_120_65_мм_гладкий_Supernova,Дата,"Москва",Розничная)</f>
        <v>#NAME?</v>
      </c>
      <c r="K92" s="45" t="e">
        <f t="shared" si="2"/>
        <v>#NAME?</v>
      </c>
      <c r="L92" s="463"/>
      <c r="N92" s="47"/>
      <c r="O92" s="48"/>
    </row>
    <row r="93" spans="1:15" s="468" customFormat="1" ht="15.75" customHeight="1">
      <c r="A93" s="467"/>
      <c r="C93" s="469"/>
      <c r="D93" s="461" t="s">
        <v>477</v>
      </c>
      <c r="E93" s="470"/>
      <c r="F93" s="470"/>
      <c r="G93" s="471"/>
      <c r="H93" s="472"/>
      <c r="I93" s="473"/>
      <c r="J93" s="470"/>
      <c r="K93" s="470"/>
      <c r="L93" s="474"/>
      <c r="N93" s="475"/>
      <c r="O93" s="476"/>
    </row>
    <row r="94" spans="1:15" s="167" customFormat="1" ht="13.5" customHeight="1">
      <c r="A94" s="36"/>
      <c r="C94" s="460"/>
      <c r="D94" s="806" t="s">
        <v>478</v>
      </c>
      <c r="E94" s="465" t="s">
        <v>443</v>
      </c>
      <c r="F94" s="57" t="s">
        <v>17</v>
      </c>
      <c r="G94" s="466" t="e">
        <f>GetTheUnit(Кирпич_CRH_RF_250_120_65_мм_гладкий_Syriusz_cieniowany,166,2)</f>
        <v>#NAME?</v>
      </c>
      <c r="H94" s="43" t="e">
        <f>GetTheUnit(Кирпич_CRH_RF_250_120_65_мм_гладкий_Syriusz_cieniowany,998,1)</f>
        <v>#NAME?</v>
      </c>
      <c r="I94" s="43" t="e">
        <f>GetTheUnit(Кирпич_CRH_RF_250_120_65_мм_гладкий_Syriusz_cieniowany,5,1)</f>
        <v>#NAME?</v>
      </c>
      <c r="J94" s="466" t="e">
        <f>курс_евро*GetThePrice(Кирпич_CRH_RF_250_120_65_мм_гладкий_Syriusz_cieniowany,Дата,"Москва",Розничная)</f>
        <v>#NAME?</v>
      </c>
      <c r="K94" s="45" t="e">
        <f aca="true" t="shared" si="3" ref="K94:K107">J94*H94</f>
        <v>#NAME?</v>
      </c>
      <c r="L94" s="463"/>
      <c r="N94" s="47"/>
      <c r="O94" s="48"/>
    </row>
    <row r="95" spans="1:15" s="167" customFormat="1" ht="13.5" customHeight="1">
      <c r="A95" s="36"/>
      <c r="C95" s="460"/>
      <c r="D95" s="807"/>
      <c r="E95" s="465" t="s">
        <v>443</v>
      </c>
      <c r="F95" s="57" t="s">
        <v>447</v>
      </c>
      <c r="G95" s="466" t="e">
        <f>GetTheUnit(Кирпич_полнотелый_CRH_RF_250_120_65_мм_гладкий_Syriusz_cieniowany,166,2)</f>
        <v>#NAME?</v>
      </c>
      <c r="H95" s="43" t="e">
        <f>GetTheUnit(Кирпич_полнотелый_CRH_RF_250_120_65_мм_гладкий_Syriusz_cieniowany,998,1)</f>
        <v>#NAME?</v>
      </c>
      <c r="I95" s="43" t="e">
        <f>GetTheUnit(Кирпич_полнотелый_CRH_RF_250_120_65_мм_гладкий_Syriusz_cieniowany,5,1)</f>
        <v>#NAME?</v>
      </c>
      <c r="J95" s="466" t="e">
        <f>курс_евро*GetThePrice(Кирпич_полнотелый_CRH_RF_250_120_65_мм_гладкий_Syriusz_cieniowany,Дата,"Москва",Розничная)</f>
        <v>#NAME?</v>
      </c>
      <c r="K95" s="45" t="e">
        <f t="shared" si="3"/>
        <v>#NAME?</v>
      </c>
      <c r="L95" s="463"/>
      <c r="N95" s="47"/>
      <c r="O95" s="48"/>
    </row>
    <row r="96" spans="1:15" s="167" customFormat="1" ht="13.5" customHeight="1">
      <c r="A96" s="36"/>
      <c r="C96" s="460"/>
      <c r="D96" s="808"/>
      <c r="E96" s="30" t="s">
        <v>448</v>
      </c>
      <c r="F96" s="57" t="s">
        <v>17</v>
      </c>
      <c r="G96" s="466" t="e">
        <f>GetTheUnit(Кирпич_CRH_Half_250_55_65_мм_гладкий_Syriusz_cieniowany,166,2)</f>
        <v>#NAME?</v>
      </c>
      <c r="H96" s="43" t="e">
        <f>GetTheUnit(Кирпич_CRH_Half_250_55_65_мм_гладкий_Syriusz_cieniowany,998,1)</f>
        <v>#NAME?</v>
      </c>
      <c r="I96" s="43" t="e">
        <f>GetTheUnit(Кирпич_CRH_Half_250_55_65_мм_гладкий_Syriusz_cieniowany,5,1)</f>
        <v>#NAME?</v>
      </c>
      <c r="J96" s="466" t="e">
        <f>курс_евро*GetThePrice(Кирпич_CRH_Half_250_55_65_мм_гладкий_Syriusz_cieniowany,Дата,"Москва",Розничная)</f>
        <v>#NAME?</v>
      </c>
      <c r="K96" s="45" t="e">
        <f t="shared" si="3"/>
        <v>#NAME?</v>
      </c>
      <c r="L96" s="463"/>
      <c r="N96" s="47"/>
      <c r="O96" s="48"/>
    </row>
    <row r="97" spans="1:15" s="167" customFormat="1" ht="13.5" customHeight="1">
      <c r="A97" s="36"/>
      <c r="C97" s="460"/>
      <c r="D97" s="806" t="s">
        <v>479</v>
      </c>
      <c r="E97" s="465" t="s">
        <v>443</v>
      </c>
      <c r="F97" s="57" t="s">
        <v>17</v>
      </c>
      <c r="G97" s="466" t="e">
        <f>GetTheUnit(Кирпич_CRH_RF_250_120_65_мм_гладкий_Tybet_cieniowany,166,2)</f>
        <v>#NAME?</v>
      </c>
      <c r="H97" s="43" t="e">
        <f>GetTheUnit(Кирпич_CRH_RF_250_120_65_мм_гладкий_Tybet_cieniowany,998,1)</f>
        <v>#NAME?</v>
      </c>
      <c r="I97" s="43" t="e">
        <f>GetTheUnit(Кирпич_CRH_RF_250_120_65_мм_гладкий_Tybet_cieniowany,5,1)</f>
        <v>#NAME?</v>
      </c>
      <c r="J97" s="466" t="e">
        <f>курс_евро*GetThePrice(Кирпич_CRH_RF_250_120_65_мм_гладкий_Tybet_cieniowany,Дата,"Москва",Розничная)</f>
        <v>#NAME?</v>
      </c>
      <c r="K97" s="45" t="e">
        <f t="shared" si="3"/>
        <v>#NAME?</v>
      </c>
      <c r="L97" s="463"/>
      <c r="N97" s="47"/>
      <c r="O97" s="48"/>
    </row>
    <row r="98" spans="1:15" s="167" customFormat="1" ht="13.5" customHeight="1">
      <c r="A98" s="36"/>
      <c r="C98" s="460"/>
      <c r="D98" s="807"/>
      <c r="E98" s="465" t="s">
        <v>443</v>
      </c>
      <c r="F98" s="57" t="s">
        <v>447</v>
      </c>
      <c r="G98" s="466" t="e">
        <f>GetTheUnit(Кирпич_полнотелый_CRH_RF_250_120_65_мм_гладкий_Tybet_cieniowany,166,2)</f>
        <v>#NAME?</v>
      </c>
      <c r="H98" s="43" t="e">
        <f>GetTheUnit(Кирпич_полнотелый_CRH_RF_250_120_65_мм_гладкий_Tybet_cieniowany,998,1)</f>
        <v>#NAME?</v>
      </c>
      <c r="I98" s="43" t="e">
        <f>GetTheUnit(Кирпич_полнотелый_CRH_RF_250_120_65_мм_гладкий_Tybet_cieniowany,5,1)</f>
        <v>#NAME?</v>
      </c>
      <c r="J98" s="466" t="e">
        <f>курс_евро*GetThePrice(Кирпич_полнотелый_CRH_RF_250_120_65_мм_гладкий_Tybet_cieniowany,Дата,"Москва",Розничная)</f>
        <v>#NAME?</v>
      </c>
      <c r="K98" s="45" t="e">
        <f t="shared" si="3"/>
        <v>#NAME?</v>
      </c>
      <c r="L98" s="463"/>
      <c r="N98" s="47"/>
      <c r="O98" s="48"/>
    </row>
    <row r="99" spans="1:15" s="167" customFormat="1" ht="13.5" customHeight="1">
      <c r="A99" s="36"/>
      <c r="C99" s="460"/>
      <c r="D99" s="808"/>
      <c r="E99" s="30" t="s">
        <v>448</v>
      </c>
      <c r="F99" s="57" t="s">
        <v>17</v>
      </c>
      <c r="G99" s="466" t="e">
        <f>GetTheUnit(Кирпич_CRH_Half_250_55_65_мм_гладкий_Tybet_cieniowany,166,2)</f>
        <v>#NAME?</v>
      </c>
      <c r="H99" s="43" t="e">
        <f>GetTheUnit(Кирпич_CRH_Half_250_55_65_мм_гладкий_Tybet_cieniowany,998,1)</f>
        <v>#NAME?</v>
      </c>
      <c r="I99" s="43" t="e">
        <f>GetTheUnit(Кирпич_CRH_Half_250_55_65_мм_гладкий_Tybet_cieniowany,5,1)</f>
        <v>#NAME?</v>
      </c>
      <c r="J99" s="466" t="e">
        <f>курс_евро*GetThePrice(Кирпич_CRH_Half_250_55_65_мм_гладкий_Tybet_cieniowany,Дата,"Москва",Розничная)</f>
        <v>#NAME?</v>
      </c>
      <c r="K99" s="45" t="e">
        <f t="shared" si="3"/>
        <v>#NAME?</v>
      </c>
      <c r="L99" s="463"/>
      <c r="N99" s="47"/>
      <c r="O99" s="48"/>
    </row>
    <row r="100" spans="1:15" s="477" customFormat="1" ht="13.5" customHeight="1" hidden="1">
      <c r="A100" s="36"/>
      <c r="C100" s="478"/>
      <c r="D100" s="806" t="s">
        <v>480</v>
      </c>
      <c r="E100" s="465" t="s">
        <v>443</v>
      </c>
      <c r="F100" s="57" t="s">
        <v>447</v>
      </c>
      <c r="G100" s="466" t="e">
        <f>GetTheUnit(Кирпич_полнотелый_CRH_RF_250_120_65_мм_гладкий_Gobi_N,166,2)</f>
        <v>#NAME?</v>
      </c>
      <c r="H100" s="43" t="e">
        <f>GetTheUnit(Кирпич_полнотелый_CRH_RF_250_120_65_мм_гладкий_Gobi_N,998,1)</f>
        <v>#NAME?</v>
      </c>
      <c r="I100" s="43" t="e">
        <f>GetTheUnit(Кирпич_полнотелый_CRH_RF_250_120_65_мм_гладкий_Gobi_N,5,1)</f>
        <v>#NAME?</v>
      </c>
      <c r="J100" s="466" t="e">
        <f>курс_евро*GetThePrice(Кирпич_полнотелый_CRH_RF_250_120_65_мм_гладкий_Gobi_N,Дата,"Москва",Розничная)</f>
        <v>#NAME?</v>
      </c>
      <c r="K100" s="45" t="e">
        <f t="shared" si="3"/>
        <v>#NAME?</v>
      </c>
      <c r="L100" s="479"/>
      <c r="N100" s="47"/>
      <c r="O100" s="48"/>
    </row>
    <row r="101" spans="1:15" s="477" customFormat="1" ht="13.5" customHeight="1" hidden="1">
      <c r="A101" s="36"/>
      <c r="C101" s="478"/>
      <c r="D101" s="808"/>
      <c r="E101" s="30" t="s">
        <v>481</v>
      </c>
      <c r="F101" s="57" t="s">
        <v>17</v>
      </c>
      <c r="G101" s="466" t="e">
        <f>GetTheUnit(Кирпич_CRH_Half_250_70_65_мм_гладкий_Gobi_N,166,2)</f>
        <v>#NAME?</v>
      </c>
      <c r="H101" s="43" t="e">
        <f>GetTheUnit(Кирпич_CRH_Half_250_70_65_мм_гладкий_Gobi_N,998,1)</f>
        <v>#NAME?</v>
      </c>
      <c r="I101" s="43" t="e">
        <f>GetTheUnit(Кирпич_CRH_Half_250_70_65_мм_гладкий_Gobi_N,5,1)</f>
        <v>#NAME?</v>
      </c>
      <c r="J101" s="466" t="e">
        <f>курс_евро*GetThePrice(Кирпич_CRH_Half_250_70_65_мм_гладкий_Gobi_N,Дата,"Москва",Розничная)</f>
        <v>#NAME?</v>
      </c>
      <c r="K101" s="45" t="e">
        <f t="shared" si="3"/>
        <v>#NAME?</v>
      </c>
      <c r="L101" s="479"/>
      <c r="N101" s="47"/>
      <c r="O101" s="48"/>
    </row>
    <row r="102" spans="1:15" s="477" customFormat="1" ht="13.5" customHeight="1" hidden="1">
      <c r="A102" s="36"/>
      <c r="C102" s="478"/>
      <c r="D102" s="806" t="s">
        <v>482</v>
      </c>
      <c r="E102" s="465" t="s">
        <v>443</v>
      </c>
      <c r="F102" s="57" t="s">
        <v>17</v>
      </c>
      <c r="G102" s="466" t="e">
        <f>GetTheUnit(Кирпич_CRH_RF_250_120_65_мм_гладкий_Orion_N,166,2)</f>
        <v>#NAME?</v>
      </c>
      <c r="H102" s="43" t="e">
        <f>GetTheUnit(Кирпич_CRH_RF_250_120_65_мм_гладкий_Orion_N,998,1)</f>
        <v>#NAME?</v>
      </c>
      <c r="I102" s="43" t="e">
        <f>GetTheUnit(Кирпич_CRH_RF_250_120_65_мм_гладкий_Orion_N,5,1)</f>
        <v>#NAME?</v>
      </c>
      <c r="J102" s="466" t="e">
        <f>курс_евро*GetThePrice(Кирпич_CRH_RF_250_120_65_мм_гладкий_Orion_N,Дата,"Москва",Розничная)</f>
        <v>#NAME?</v>
      </c>
      <c r="K102" s="45" t="e">
        <f t="shared" si="3"/>
        <v>#NAME?</v>
      </c>
      <c r="L102" s="479"/>
      <c r="N102" s="47"/>
      <c r="O102" s="48"/>
    </row>
    <row r="103" spans="1:15" s="477" customFormat="1" ht="13.5" customHeight="1" hidden="1">
      <c r="A103" s="36"/>
      <c r="C103" s="478"/>
      <c r="D103" s="807"/>
      <c r="E103" s="465" t="s">
        <v>443</v>
      </c>
      <c r="F103" s="57" t="s">
        <v>447</v>
      </c>
      <c r="G103" s="466" t="e">
        <f>GetTheUnit(Кирпич_полнотелый_CRH_RF_250_120_65_мм_гладкий_Orion_N,166,2)</f>
        <v>#NAME?</v>
      </c>
      <c r="H103" s="43" t="e">
        <f>GetTheUnit(Кирпич_полнотелый_CRH_RF_250_120_65_мм_гладкий_Orion_N,998,1)</f>
        <v>#NAME?</v>
      </c>
      <c r="I103" s="43" t="e">
        <f>GetTheUnit(Кирпич_полнотелый_CRH_RF_250_120_65_мм_гладкий_Orion_N,5,1)</f>
        <v>#NAME?</v>
      </c>
      <c r="J103" s="466" t="e">
        <f>курс_евро*GetThePrice(Кирпич_полнотелый_CRH_RF_250_120_65_мм_гладкий_Orion_N,Дата,"Москва",Розничная)</f>
        <v>#NAME?</v>
      </c>
      <c r="K103" s="45" t="e">
        <f t="shared" si="3"/>
        <v>#NAME?</v>
      </c>
      <c r="L103" s="479"/>
      <c r="N103" s="47"/>
      <c r="O103" s="48"/>
    </row>
    <row r="104" spans="1:15" s="477" customFormat="1" ht="13.5" customHeight="1" hidden="1">
      <c r="A104" s="36"/>
      <c r="C104" s="478"/>
      <c r="D104" s="808"/>
      <c r="E104" s="30" t="s">
        <v>481</v>
      </c>
      <c r="F104" s="57" t="s">
        <v>17</v>
      </c>
      <c r="G104" s="466" t="e">
        <f>GetTheUnit(Кирпич_CRH_Half_250_70_65_мм_гладкий_Orion_N,166,2)</f>
        <v>#NAME?</v>
      </c>
      <c r="H104" s="43" t="e">
        <f>GetTheUnit(Кирпич_CRH_Half_250_70_65_мм_гладкий_Orion_N,998,1)</f>
        <v>#NAME?</v>
      </c>
      <c r="I104" s="43" t="e">
        <f>GetTheUnit(Кирпич_CRH_Half_250_70_65_мм_гладкий_Orion_N,5,1)</f>
        <v>#NAME?</v>
      </c>
      <c r="J104" s="466" t="e">
        <f>курс_евро*GetThePrice(Кирпич_CRH_Half_250_70_65_мм_гладкий_Orion_N,Дата,"Москва",Розничная)</f>
        <v>#NAME?</v>
      </c>
      <c r="K104" s="45" t="e">
        <f t="shared" si="3"/>
        <v>#NAME?</v>
      </c>
      <c r="L104" s="479"/>
      <c r="N104" s="47"/>
      <c r="O104" s="48"/>
    </row>
    <row r="105" spans="1:15" s="167" customFormat="1" ht="13.5" customHeight="1" hidden="1">
      <c r="A105" s="36"/>
      <c r="C105" s="460"/>
      <c r="D105" s="798" t="s">
        <v>483</v>
      </c>
      <c r="E105" s="465" t="s">
        <v>443</v>
      </c>
      <c r="F105" s="57" t="s">
        <v>17</v>
      </c>
      <c r="G105" s="466" t="e">
        <f>GetTheUnit(Кирпич_CRH_RF_250_120_65_мм_гладкий_Wega,166,2)</f>
        <v>#NAME?</v>
      </c>
      <c r="H105" s="43" t="e">
        <f>GetTheUnit(Кирпич_CRH_RF_250_120_65_мм_гладкий_Wega,998,1)</f>
        <v>#NAME?</v>
      </c>
      <c r="I105" s="43" t="e">
        <f>GetTheUnit(Кирпич_CRH_RF_250_120_65_мм_гладкий_Wega,5,1)</f>
        <v>#NAME?</v>
      </c>
      <c r="J105" s="466" t="e">
        <f>курс_евро*GetThePrice(Кирпич_CRH_RF_250_120_65_мм_гладкий_Wega,Дата,"Москва",Розничная)</f>
        <v>#NAME?</v>
      </c>
      <c r="K105" s="45" t="e">
        <f t="shared" si="3"/>
        <v>#NAME?</v>
      </c>
      <c r="L105" s="463"/>
      <c r="N105" s="47"/>
      <c r="O105" s="48"/>
    </row>
    <row r="106" spans="1:15" s="167" customFormat="1" ht="13.5" customHeight="1" hidden="1">
      <c r="A106" s="36"/>
      <c r="C106" s="460"/>
      <c r="D106" s="809"/>
      <c r="E106" s="465" t="s">
        <v>443</v>
      </c>
      <c r="F106" s="57" t="s">
        <v>447</v>
      </c>
      <c r="G106" s="466" t="e">
        <f>GetTheUnit(Кирпич_полнотелый_CRH_RF_250_120_65_мм_гладкий_Wega,166,2)</f>
        <v>#NAME?</v>
      </c>
      <c r="H106" s="43" t="e">
        <f>GetTheUnit(Кирпич_полнотелый_CRH_RF_250_120_65_мм_гладкий_Wega,998,1)</f>
        <v>#NAME?</v>
      </c>
      <c r="I106" s="43" t="e">
        <f>GetTheUnit(Кирпич_полнотелый_CRH_RF_250_120_65_мм_гладкий_Wega,5,1)</f>
        <v>#NAME?</v>
      </c>
      <c r="J106" s="466" t="e">
        <f>курс_евро*GetThePrice(Кирпич_полнотелый_CRH_RF_250_120_65_мм_гладкий_Wega,Дата,"Москва",Розничная)</f>
        <v>#NAME?</v>
      </c>
      <c r="K106" s="45" t="e">
        <f t="shared" si="3"/>
        <v>#NAME?</v>
      </c>
      <c r="L106" s="463"/>
      <c r="N106" s="47"/>
      <c r="O106" s="48"/>
    </row>
    <row r="107" spans="1:15" s="167" customFormat="1" ht="13.5" customHeight="1" hidden="1">
      <c r="A107" s="36"/>
      <c r="C107" s="460"/>
      <c r="D107" s="799"/>
      <c r="E107" s="30" t="s">
        <v>481</v>
      </c>
      <c r="F107" s="57" t="s">
        <v>17</v>
      </c>
      <c r="G107" s="466" t="e">
        <f>GetTheUnit(Кирпич_CRH_Half_250_70_65_мм_гладкий_Wega,166,2)</f>
        <v>#NAME?</v>
      </c>
      <c r="H107" s="43" t="e">
        <f>GetTheUnit(Кирпич_CRH_Half_250_70_65_мм_гладкий_Wega,998,1)</f>
        <v>#NAME?</v>
      </c>
      <c r="I107" s="43" t="e">
        <f>GetTheUnit(Кирпич_CRH_Half_250_70_65_мм_гладкий_Wega,5,1)</f>
        <v>#NAME?</v>
      </c>
      <c r="J107" s="466" t="e">
        <f>курс_евро*GetThePrice(Кирпич_CRH_Half_250_70_65_мм_гладкий_Wega,Дата,"Москва",Розничная)</f>
        <v>#NAME?</v>
      </c>
      <c r="K107" s="45" t="e">
        <f t="shared" si="3"/>
        <v>#NAME?</v>
      </c>
      <c r="L107" s="463"/>
      <c r="N107" s="47"/>
      <c r="O107" s="48"/>
    </row>
    <row r="108" spans="1:15" s="468" customFormat="1" ht="15.75" customHeight="1">
      <c r="A108" s="467"/>
      <c r="C108" s="469"/>
      <c r="D108" s="461" t="s">
        <v>484</v>
      </c>
      <c r="E108" s="470"/>
      <c r="F108" s="470"/>
      <c r="G108" s="471"/>
      <c r="H108" s="472"/>
      <c r="I108" s="473"/>
      <c r="J108" s="470"/>
      <c r="K108" s="470"/>
      <c r="L108" s="474"/>
      <c r="N108" s="475"/>
      <c r="O108" s="476"/>
    </row>
    <row r="109" spans="1:15" s="468" customFormat="1" ht="12.75" customHeight="1">
      <c r="A109" s="467"/>
      <c r="C109" s="469"/>
      <c r="D109" s="798" t="s">
        <v>485</v>
      </c>
      <c r="E109" s="465" t="s">
        <v>443</v>
      </c>
      <c r="F109" s="57" t="s">
        <v>17</v>
      </c>
      <c r="G109" s="466" t="e">
        <f>GetTheUnit(Кирпич_CRH_RF_250x120x65_мм_гладкий_Galaxy,166,2)</f>
        <v>#NAME?</v>
      </c>
      <c r="H109" s="43" t="e">
        <f>GetTheUnit(Кирпич_CRH_RF_250x120x65_мм_гладкий_Galaxy,998,1)</f>
        <v>#NAME?</v>
      </c>
      <c r="I109" s="43" t="e">
        <f>GetTheUnit(Кирпич_CRH_RF_250x120x65_мм_гладкий_Galaxy,5,1)</f>
        <v>#NAME?</v>
      </c>
      <c r="J109" s="466" t="e">
        <f>курс_евро*GetThePrice(Кирпич_CRH_RF_250x120x65_мм_гладкий_Galaxy,Дата,"Москва",Розничная)</f>
        <v>#NAME?</v>
      </c>
      <c r="K109" s="45" t="e">
        <f aca="true" t="shared" si="4" ref="K109:K115">J109*H109</f>
        <v>#NAME?</v>
      </c>
      <c r="L109" s="474"/>
      <c r="N109" s="475"/>
      <c r="O109" s="476"/>
    </row>
    <row r="110" spans="1:15" s="468" customFormat="1" ht="13.5" customHeight="1">
      <c r="A110" s="467"/>
      <c r="C110" s="469"/>
      <c r="D110" s="799"/>
      <c r="E110" s="30" t="s">
        <v>448</v>
      </c>
      <c r="F110" s="57" t="s">
        <v>17</v>
      </c>
      <c r="G110" s="466" t="e">
        <f>GetTheUnit(Кирпич_CRH_Half_250x55x65_мм_гладкий_Galaxy,166,2)</f>
        <v>#NAME?</v>
      </c>
      <c r="H110" s="43" t="e">
        <f>GetTheUnit(Кирпич_CRH_Half_250x55x65_мм_гладкий_Galaxy,998,1)</f>
        <v>#NAME?</v>
      </c>
      <c r="I110" s="43" t="e">
        <f>GetTheUnit(Кирпич_CRH_Half_250x55x65_мм_гладкий_Galaxy,5,1)</f>
        <v>#NAME?</v>
      </c>
      <c r="J110" s="466" t="e">
        <f>курс_евро*GetThePrice(Кирпич_CRH_Half_250x55x65_мм_гладкий_Galaxy,Дата,"Москва",Розничная)</f>
        <v>#NAME?</v>
      </c>
      <c r="K110" s="45" t="e">
        <f t="shared" si="4"/>
        <v>#NAME?</v>
      </c>
      <c r="L110" s="474"/>
      <c r="N110" s="475"/>
      <c r="O110" s="476"/>
    </row>
    <row r="111" spans="1:15" s="468" customFormat="1" ht="13.5" customHeight="1">
      <c r="A111" s="467"/>
      <c r="C111" s="469"/>
      <c r="D111" s="798" t="s">
        <v>486</v>
      </c>
      <c r="E111" s="465" t="s">
        <v>443</v>
      </c>
      <c r="F111" s="57" t="s">
        <v>17</v>
      </c>
      <c r="G111" s="466" t="e">
        <f>GetTheUnit(Кирпич_CRH_RF_250x120x65_мм_гладкий_Galaxy_Silver,166,2)</f>
        <v>#NAME?</v>
      </c>
      <c r="H111" s="43" t="e">
        <f>GetTheUnit(Кирпич_CRH_RF_250x120x65_мм_гладкий_Galaxy_Silver,998,1)</f>
        <v>#NAME?</v>
      </c>
      <c r="I111" s="43" t="e">
        <f>GetTheUnit(Кирпич_CRH_RF_250x120x65_мм_гладкий_Galaxy_Silver,5,1)</f>
        <v>#NAME?</v>
      </c>
      <c r="J111" s="466" t="e">
        <f>курс_евро*GetThePrice(Кирпич_CRH_RF_250x120x65_мм_гладкий_Galaxy_Silver,Дата,"Москва",Розничная)</f>
        <v>#NAME?</v>
      </c>
      <c r="K111" s="45" t="e">
        <f t="shared" si="4"/>
        <v>#NAME?</v>
      </c>
      <c r="L111" s="474"/>
      <c r="N111" s="475"/>
      <c r="O111" s="476"/>
    </row>
    <row r="112" spans="1:15" s="468" customFormat="1" ht="12.75" customHeight="1">
      <c r="A112" s="467"/>
      <c r="C112" s="469"/>
      <c r="D112" s="799"/>
      <c r="E112" s="30" t="s">
        <v>448</v>
      </c>
      <c r="F112" s="57" t="s">
        <v>17</v>
      </c>
      <c r="G112" s="466" t="e">
        <f>GetTheUnit(Кирпич_CRH_Half_250x55x65_мм_гладкий_Galaxy_Silver,166,2)</f>
        <v>#NAME?</v>
      </c>
      <c r="H112" s="43" t="e">
        <f>GetTheUnit(Кирпич_CRH_Half_250x55x65_мм_гладкий_Galaxy_Silver,998,1)</f>
        <v>#NAME?</v>
      </c>
      <c r="I112" s="43" t="e">
        <f>GetTheUnit(Кирпич_CRH_Half_250x55x65_мм_гладкий_Galaxy_Silver,5,1)</f>
        <v>#NAME?</v>
      </c>
      <c r="J112" s="466" t="e">
        <f>курс_евро*GetThePrice(Кирпич_CRH_Half_250x55x65_мм_гладкий_Galaxy_Silver,Дата,"Москва",Розничная)</f>
        <v>#NAME?</v>
      </c>
      <c r="K112" s="45" t="e">
        <f t="shared" si="4"/>
        <v>#NAME?</v>
      </c>
      <c r="L112" s="474"/>
      <c r="N112" s="475"/>
      <c r="O112" s="476"/>
    </row>
    <row r="113" spans="1:15" s="167" customFormat="1" ht="13.5" customHeight="1">
      <c r="A113" s="36"/>
      <c r="C113" s="460"/>
      <c r="D113" s="798" t="s">
        <v>487</v>
      </c>
      <c r="E113" s="465" t="s">
        <v>443</v>
      </c>
      <c r="F113" s="57" t="s">
        <v>17</v>
      </c>
      <c r="G113" s="466" t="e">
        <f>GetTheUnit(Кирпич_CRH_RF_250_120_65_мм_гладкий_Carbon,166,2)</f>
        <v>#NAME?</v>
      </c>
      <c r="H113" s="43" t="e">
        <f>GetTheUnit(Кирпич_CRH_RF_250_120_65_мм_гладкий_Carbon,998,1)</f>
        <v>#NAME?</v>
      </c>
      <c r="I113" s="43" t="e">
        <f>GetTheUnit(Кирпич_CRH_RF_250_120_65_мм_гладкий_Carbon,5,1)</f>
        <v>#NAME?</v>
      </c>
      <c r="J113" s="466" t="e">
        <f>курс_евро*GetThePrice(Кирпич_CRH_RF_250_120_65_мм_гладкий_Carbon,Дата,"Москва",Розничная)</f>
        <v>#NAME?</v>
      </c>
      <c r="K113" s="45" t="e">
        <f t="shared" si="4"/>
        <v>#NAME?</v>
      </c>
      <c r="L113" s="463"/>
      <c r="N113" s="47"/>
      <c r="O113" s="48"/>
    </row>
    <row r="114" spans="1:15" s="167" customFormat="1" ht="13.5" customHeight="1">
      <c r="A114" s="36"/>
      <c r="C114" s="460"/>
      <c r="D114" s="809"/>
      <c r="E114" s="465" t="s">
        <v>443</v>
      </c>
      <c r="F114" s="57" t="s">
        <v>447</v>
      </c>
      <c r="G114" s="466" t="e">
        <f>GetTheUnit(Кирпич_полнотелый_CRH_RF_250_120_65_мм_гладкий_Carbon,166,2)</f>
        <v>#NAME?</v>
      </c>
      <c r="H114" s="43" t="e">
        <f>GetTheUnit(Кирпич_полнотелый_CRH_RF_250_120_65_мм_гладкий_Carbon,998,1)</f>
        <v>#NAME?</v>
      </c>
      <c r="I114" s="43" t="e">
        <f>GetTheUnit(Кирпич_полнотелый_CRH_RF_250_120_65_мм_гладкий_Carbon,5,1)</f>
        <v>#NAME?</v>
      </c>
      <c r="J114" s="466" t="e">
        <f>курс_евро*GetThePrice(Кирпич_полнотелый_CRH_RF_250_120_65_мм_гладкий_Carbon,Дата,"Москва",Розничная)</f>
        <v>#NAME?</v>
      </c>
      <c r="K114" s="45" t="e">
        <f t="shared" si="4"/>
        <v>#NAME?</v>
      </c>
      <c r="L114" s="463"/>
      <c r="N114" s="47"/>
      <c r="O114" s="48"/>
    </row>
    <row r="115" spans="1:15" s="167" customFormat="1" ht="13.5" customHeight="1">
      <c r="A115" s="36"/>
      <c r="C115" s="460"/>
      <c r="D115" s="799"/>
      <c r="E115" s="30" t="s">
        <v>448</v>
      </c>
      <c r="F115" s="57" t="s">
        <v>17</v>
      </c>
      <c r="G115" s="466" t="e">
        <f>GetTheUnit(Кирпич_CRH_Half_250_55_65_мм_гладкий_Carbon,166,2)</f>
        <v>#NAME?</v>
      </c>
      <c r="H115" s="43" t="e">
        <f>GetTheUnit(Кирпич_CRH_Half_250_55_65_мм_гладкий_Carbon,998,1)</f>
        <v>#NAME?</v>
      </c>
      <c r="I115" s="43" t="e">
        <f>GetTheUnit(Кирпич_CRH_Half_250_55_65_мм_гладкий_Carbon,5,1)</f>
        <v>#NAME?</v>
      </c>
      <c r="J115" s="466" t="e">
        <f>курс_евро*GetThePrice(Кирпич_CRH_Half_250_55_65_мм_гладкий_Carbon,Дата,"Москва",Розничная)</f>
        <v>#NAME?</v>
      </c>
      <c r="K115" s="45" t="e">
        <f t="shared" si="4"/>
        <v>#NAME?</v>
      </c>
      <c r="L115" s="463"/>
      <c r="N115" s="47"/>
      <c r="O115" s="48"/>
    </row>
    <row r="116" spans="1:15" s="50" customFormat="1" ht="5.25" customHeight="1" thickBot="1">
      <c r="A116" s="36"/>
      <c r="C116" s="110"/>
      <c r="D116" s="111"/>
      <c r="E116" s="481"/>
      <c r="F116" s="114"/>
      <c r="G116" s="115"/>
      <c r="H116" s="114"/>
      <c r="I116" s="114"/>
      <c r="J116" s="482"/>
      <c r="K116" s="117"/>
      <c r="L116" s="118"/>
      <c r="N116" s="47"/>
      <c r="O116" s="48"/>
    </row>
    <row r="117" spans="1:15" s="50" customFormat="1" ht="7.5" customHeight="1" thickTop="1">
      <c r="A117" s="36"/>
      <c r="C117" s="119"/>
      <c r="D117" s="120"/>
      <c r="E117" s="122"/>
      <c r="F117" s="123"/>
      <c r="G117" s="124"/>
      <c r="H117" s="123"/>
      <c r="I117" s="123"/>
      <c r="J117" s="483"/>
      <c r="K117" s="119"/>
      <c r="L117" s="119"/>
      <c r="N117" s="47"/>
      <c r="O117" s="48"/>
    </row>
    <row r="118" spans="1:15" ht="26.25" customHeight="1">
      <c r="A118" s="1"/>
      <c r="C118" s="669" t="s">
        <v>488</v>
      </c>
      <c r="D118" s="669"/>
      <c r="E118" s="669"/>
      <c r="F118" s="669"/>
      <c r="G118" s="669"/>
      <c r="H118" s="669"/>
      <c r="I118" s="669"/>
      <c r="J118" s="669"/>
      <c r="K118" s="669"/>
      <c r="L118" s="669"/>
      <c r="N118" s="11"/>
      <c r="O118" s="2"/>
    </row>
    <row r="119" spans="1:15" ht="12.75" customHeight="1" thickBot="1">
      <c r="A119" s="1"/>
      <c r="C119" s="12"/>
      <c r="D119" s="12"/>
      <c r="E119" s="12"/>
      <c r="F119" s="671" t="s">
        <v>2</v>
      </c>
      <c r="G119" s="671"/>
      <c r="H119" s="671"/>
      <c r="I119" s="671"/>
      <c r="J119" s="671"/>
      <c r="K119" s="671"/>
      <c r="L119" s="671"/>
      <c r="N119" s="11"/>
      <c r="O119" s="2"/>
    </row>
    <row r="120" spans="1:15" ht="5.25" customHeight="1" thickTop="1">
      <c r="A120" s="1"/>
      <c r="C120" s="19"/>
      <c r="D120" s="20"/>
      <c r="E120" s="22"/>
      <c r="F120" s="23"/>
      <c r="G120" s="23"/>
      <c r="H120" s="23"/>
      <c r="I120" s="23"/>
      <c r="J120" s="458"/>
      <c r="K120" s="26"/>
      <c r="L120" s="27"/>
      <c r="N120" s="11"/>
      <c r="O120" s="2"/>
    </row>
    <row r="121" spans="1:15" s="37" customFormat="1" ht="13.5" customHeight="1">
      <c r="A121" s="36"/>
      <c r="C121" s="28"/>
      <c r="D121" s="672" t="s">
        <v>4</v>
      </c>
      <c r="E121" s="674" t="s">
        <v>5</v>
      </c>
      <c r="F121" s="676" t="s">
        <v>6</v>
      </c>
      <c r="G121" s="678" t="s">
        <v>7</v>
      </c>
      <c r="H121" s="680" t="s">
        <v>8</v>
      </c>
      <c r="I121" s="682" t="s">
        <v>9</v>
      </c>
      <c r="J121" s="684" t="s">
        <v>10</v>
      </c>
      <c r="K121" s="684"/>
      <c r="L121" s="29"/>
      <c r="N121" s="47"/>
      <c r="O121" s="48"/>
    </row>
    <row r="122" spans="1:15" s="37" customFormat="1" ht="13.5" customHeight="1">
      <c r="A122" s="36"/>
      <c r="C122" s="28"/>
      <c r="D122" s="805"/>
      <c r="E122" s="675"/>
      <c r="F122" s="677"/>
      <c r="G122" s="679"/>
      <c r="H122" s="681"/>
      <c r="I122" s="683"/>
      <c r="J122" s="459" t="s">
        <v>11</v>
      </c>
      <c r="K122" s="32" t="s">
        <v>12</v>
      </c>
      <c r="L122" s="29"/>
      <c r="N122" s="47"/>
      <c r="O122" s="48"/>
    </row>
    <row r="123" spans="1:15" s="37" customFormat="1" ht="13.5" customHeight="1">
      <c r="A123" s="36"/>
      <c r="C123" s="28"/>
      <c r="D123" s="798" t="s">
        <v>489</v>
      </c>
      <c r="E123" s="465" t="s">
        <v>443</v>
      </c>
      <c r="F123" s="57" t="s">
        <v>17</v>
      </c>
      <c r="G123" s="466" t="e">
        <f>GetTheUnit(Кирпич_CRH_RF_250x120x65_мм_гладкий_Maximus,166,2)</f>
        <v>#NAME?</v>
      </c>
      <c r="H123" s="43" t="e">
        <f>GetTheUnit(Кирпич_CRH_RF_250x120x65_мм_гладкий_Maximus,998,1)</f>
        <v>#NAME?</v>
      </c>
      <c r="I123" s="43" t="e">
        <f>GetTheUnit(Кирпич_CRH_RF_250x120x65_мм_гладкий_Maximus,5,1)</f>
        <v>#NAME?</v>
      </c>
      <c r="J123" s="466" t="e">
        <f>курс_евро*GetThePrice(Кирпич_CRH_RF_250x120x65_мм_гладкий_Maximus,Дата,"Москва",Розничная)</f>
        <v>#NAME?</v>
      </c>
      <c r="K123" s="45" t="e">
        <f>J123*H123</f>
        <v>#NAME?</v>
      </c>
      <c r="L123" s="29"/>
      <c r="N123" s="47"/>
      <c r="O123" s="48"/>
    </row>
    <row r="124" spans="1:15" s="37" customFormat="1" ht="13.5" customHeight="1">
      <c r="A124" s="36"/>
      <c r="C124" s="28"/>
      <c r="D124" s="799"/>
      <c r="E124" s="30" t="s">
        <v>481</v>
      </c>
      <c r="F124" s="57" t="s">
        <v>17</v>
      </c>
      <c r="G124" s="466" t="e">
        <f>GetTheUnit(Кирпич_CRH_Half_250x55x65_мм_гладкий_Maximus,166,2)</f>
        <v>#NAME?</v>
      </c>
      <c r="H124" s="43" t="e">
        <f>GetTheUnit(Кирпич_CRH_Half_250x55x65_мм_гладкий_Maximus,998,1)</f>
        <v>#NAME?</v>
      </c>
      <c r="I124" s="43" t="e">
        <f>GetTheUnit(Кирпич_CRH_Half_250x55x65_мм_гладкий_Maximus,5,1)</f>
        <v>#NAME?</v>
      </c>
      <c r="J124" s="466" t="e">
        <f>курс_евро*GetThePrice(Кирпич_CRH_Half_250x55x65_мм_гладкий_Maximus,Дата,"Москва",Розничная)</f>
        <v>#NAME?</v>
      </c>
      <c r="K124" s="45" t="e">
        <f>J124*H124</f>
        <v>#NAME?</v>
      </c>
      <c r="L124" s="29"/>
      <c r="N124" s="47"/>
      <c r="O124" s="48"/>
    </row>
    <row r="125" spans="1:15" s="477" customFormat="1" ht="12.75">
      <c r="A125" s="36"/>
      <c r="C125" s="478"/>
      <c r="D125" s="798" t="s">
        <v>490</v>
      </c>
      <c r="E125" s="465" t="s">
        <v>443</v>
      </c>
      <c r="F125" s="57" t="s">
        <v>17</v>
      </c>
      <c r="G125" s="466" t="e">
        <f>GetTheUnit(Кирпич_CRH_RF_250_120_65_мм_гладкий_Tytan_N,166,2)</f>
        <v>#NAME?</v>
      </c>
      <c r="H125" s="43" t="e">
        <f>GetTheUnit(Кирпич_CRH_RF_250_120_65_мм_гладкий_Tytan_N,998,1)</f>
        <v>#NAME?</v>
      </c>
      <c r="I125" s="43" t="e">
        <f>GetTheUnit(Кирпич_CRH_RF_250_120_65_мм_гладкий_Tytan_N,5,1)</f>
        <v>#NAME?</v>
      </c>
      <c r="J125" s="466" t="e">
        <f>курс_евро*GetThePrice(Кирпич_CRH_RF_250_120_65_мм_гладкий_Tytan_N,Дата,"Москва",Розничная)</f>
        <v>#NAME?</v>
      </c>
      <c r="K125" s="45" t="e">
        <f aca="true" t="shared" si="5" ref="K125:K130">J125*H125</f>
        <v>#NAME?</v>
      </c>
      <c r="L125" s="479"/>
      <c r="N125" s="47"/>
      <c r="O125" s="48"/>
    </row>
    <row r="126" spans="1:15" s="477" customFormat="1" ht="13.5" customHeight="1">
      <c r="A126" s="36"/>
      <c r="C126" s="478"/>
      <c r="D126" s="809"/>
      <c r="E126" s="465" t="s">
        <v>443</v>
      </c>
      <c r="F126" s="57" t="s">
        <v>447</v>
      </c>
      <c r="G126" s="466" t="e">
        <f>GetTheUnit(Кирпич_полнотелый_CRH_RF_250_120_65_мм_гладкий_Tytan_N,166,2)</f>
        <v>#NAME?</v>
      </c>
      <c r="H126" s="43" t="e">
        <f>GetTheUnit(Кирпич_полнотелый_CRH_RF_250_120_65_мм_гладкий_Tytan_N,998,1)</f>
        <v>#NAME?</v>
      </c>
      <c r="I126" s="43" t="e">
        <f>GetTheUnit(Кирпич_полнотелый_CRH_RF_250_120_65_мм_гладкий_Tytan_N,5,1)</f>
        <v>#NAME?</v>
      </c>
      <c r="J126" s="466" t="e">
        <f>курс_евро*GetThePrice(Кирпич_полнотелый_CRH_RF_250_120_65_мм_гладкий_Tytan_N,Дата,"Москва",Розничная)</f>
        <v>#NAME?</v>
      </c>
      <c r="K126" s="45" t="e">
        <f t="shared" si="5"/>
        <v>#NAME?</v>
      </c>
      <c r="L126" s="479"/>
      <c r="N126" s="47"/>
      <c r="O126" s="48"/>
    </row>
    <row r="127" spans="1:15" s="477" customFormat="1" ht="13.5" customHeight="1">
      <c r="A127" s="36"/>
      <c r="C127" s="478"/>
      <c r="D127" s="799"/>
      <c r="E127" s="30" t="s">
        <v>481</v>
      </c>
      <c r="F127" s="57" t="s">
        <v>17</v>
      </c>
      <c r="G127" s="466" t="e">
        <f>GetTheUnit(Кирпич_CRH_Half_250_70_65_мм_гладкий_Tytan_N,166,2)</f>
        <v>#NAME?</v>
      </c>
      <c r="H127" s="43" t="e">
        <f>GetTheUnit(Кирпич_CRH_Half_250_70_65_мм_гладкий_Tytan_N,998,1)</f>
        <v>#NAME?</v>
      </c>
      <c r="I127" s="43" t="e">
        <f>GetTheUnit(Кирпич_CRH_Half_250_70_65_мм_гладкий_Tytan_N,5,1)</f>
        <v>#NAME?</v>
      </c>
      <c r="J127" s="466" t="e">
        <f>курс_евро*GetThePrice(Кирпич_CRH_Half_250_70_65_мм_гладкий_Tytan_N,Дата,"Москва",Розничная)</f>
        <v>#NAME?</v>
      </c>
      <c r="K127" s="45" t="e">
        <f t="shared" si="5"/>
        <v>#NAME?</v>
      </c>
      <c r="L127" s="479"/>
      <c r="N127" s="47"/>
      <c r="O127" s="48"/>
    </row>
    <row r="128" spans="1:15" s="477" customFormat="1" ht="13.5" customHeight="1">
      <c r="A128" s="36"/>
      <c r="C128" s="478"/>
      <c r="D128" s="798" t="s">
        <v>491</v>
      </c>
      <c r="E128" s="465" t="s">
        <v>443</v>
      </c>
      <c r="F128" s="57" t="s">
        <v>17</v>
      </c>
      <c r="G128" s="466" t="e">
        <f>GetTheUnit(Кирпич_CRH_RF_250_120_65_мм_гладкий_Wega_N,166,2)</f>
        <v>#NAME?</v>
      </c>
      <c r="H128" s="43" t="e">
        <f>GetTheUnit(Кирпич_CRH_RF_250_120_65_мм_гладкий_Wega_N,998,1)</f>
        <v>#NAME?</v>
      </c>
      <c r="I128" s="43" t="e">
        <f>GetTheUnit(Кирпич_CRH_RF_250_120_65_мм_гладкий_Wega_N,5,1)</f>
        <v>#NAME?</v>
      </c>
      <c r="J128" s="466" t="e">
        <f>курс_евро*GetThePrice(Кирпич_CRH_RF_250_120_65_мм_гладкий_Wega_N,Дата,"Москва",Розничная)</f>
        <v>#NAME?</v>
      </c>
      <c r="K128" s="45" t="e">
        <f t="shared" si="5"/>
        <v>#NAME?</v>
      </c>
      <c r="L128" s="479"/>
      <c r="N128" s="47"/>
      <c r="O128" s="48"/>
    </row>
    <row r="129" spans="1:15" s="477" customFormat="1" ht="13.5" customHeight="1">
      <c r="A129" s="36"/>
      <c r="C129" s="478"/>
      <c r="D129" s="809"/>
      <c r="E129" s="465" t="s">
        <v>443</v>
      </c>
      <c r="F129" s="57" t="s">
        <v>447</v>
      </c>
      <c r="G129" s="466" t="e">
        <f>GetTheUnit(Кирпич_полнотелый_CRH_RF_250_120_65_мм_гладкий_Wega_N,166,2)</f>
        <v>#NAME?</v>
      </c>
      <c r="H129" s="43" t="e">
        <f>GetTheUnit(Кирпич_полнотелый_CRH_RF_250_120_65_мм_гладкий_Wega_N,998,1)</f>
        <v>#NAME?</v>
      </c>
      <c r="I129" s="43" t="e">
        <f>GetTheUnit(Кирпич_полнотелый_CRH_RF_250_120_65_мм_гладкий_Wega_N,5,1)</f>
        <v>#NAME?</v>
      </c>
      <c r="J129" s="466" t="e">
        <f>курс_евро*GetThePrice(Кирпич_полнотелый_CRH_RF_250_120_65_мм_гладкий_Wega_N,Дата,"Москва",Розничная)</f>
        <v>#NAME?</v>
      </c>
      <c r="K129" s="45" t="e">
        <f t="shared" si="5"/>
        <v>#NAME?</v>
      </c>
      <c r="L129" s="479"/>
      <c r="N129" s="47"/>
      <c r="O129" s="48"/>
    </row>
    <row r="130" spans="1:15" s="477" customFormat="1" ht="13.5" customHeight="1">
      <c r="A130" s="36"/>
      <c r="C130" s="478"/>
      <c r="D130" s="799"/>
      <c r="E130" s="30" t="s">
        <v>481</v>
      </c>
      <c r="F130" s="57" t="s">
        <v>17</v>
      </c>
      <c r="G130" s="466" t="e">
        <f>GetTheUnit(Кирпич_CRH_Half_250_70_65_мм_гладкий_Wega_N,166,2)</f>
        <v>#NAME?</v>
      </c>
      <c r="H130" s="43" t="e">
        <f>GetTheUnit(Кирпич_CRH_Half_250_70_65_мм_гладкий_Wega_N,998,1)</f>
        <v>#NAME?</v>
      </c>
      <c r="I130" s="43" t="e">
        <f>GetTheUnit(Кирпич_CRH_Half_250_70_65_мм_гладкий_Wega_N,5,1)</f>
        <v>#NAME?</v>
      </c>
      <c r="J130" s="466" t="e">
        <f>курс_евро*GetThePrice(Кирпич_CRH_Half_250_70_65_мм_гладкий_Wega_N,Дата,"Москва",Розничная)</f>
        <v>#NAME?</v>
      </c>
      <c r="K130" s="45" t="e">
        <f t="shared" si="5"/>
        <v>#NAME?</v>
      </c>
      <c r="L130" s="479"/>
      <c r="N130" s="47"/>
      <c r="O130" s="48"/>
    </row>
    <row r="131" spans="1:15" s="50" customFormat="1" ht="5.25" customHeight="1" thickBot="1">
      <c r="A131" s="36"/>
      <c r="C131" s="110"/>
      <c r="D131" s="111"/>
      <c r="E131" s="481"/>
      <c r="F131" s="114"/>
      <c r="G131" s="115"/>
      <c r="H131" s="114"/>
      <c r="I131" s="114"/>
      <c r="J131" s="482"/>
      <c r="K131" s="117"/>
      <c r="L131" s="118"/>
      <c r="N131" s="47"/>
      <c r="O131" s="48"/>
    </row>
    <row r="132" spans="1:15" s="50" customFormat="1" ht="5.25" customHeight="1" thickTop="1">
      <c r="A132" s="36"/>
      <c r="C132" s="119"/>
      <c r="D132" s="120"/>
      <c r="E132" s="122"/>
      <c r="F132" s="123"/>
      <c r="G132" s="124"/>
      <c r="H132" s="123"/>
      <c r="I132" s="123"/>
      <c r="J132" s="483"/>
      <c r="K132" s="119"/>
      <c r="L132" s="119"/>
      <c r="N132" s="47"/>
      <c r="O132" s="48"/>
    </row>
    <row r="133" spans="1:15" s="50" customFormat="1" ht="12.75" customHeight="1">
      <c r="A133" s="36"/>
      <c r="C133" s="140" t="s">
        <v>176</v>
      </c>
      <c r="D133" s="120"/>
      <c r="E133" s="122"/>
      <c r="F133" s="123"/>
      <c r="G133" s="124"/>
      <c r="H133" s="123"/>
      <c r="I133" s="123"/>
      <c r="J133" s="483"/>
      <c r="K133" s="119"/>
      <c r="L133" s="119"/>
      <c r="N133" s="47"/>
      <c r="O133" s="48"/>
    </row>
    <row r="134" spans="1:15" s="131" customFormat="1" ht="13.5" customHeight="1">
      <c r="A134" s="36"/>
      <c r="C134" s="694" t="s">
        <v>178</v>
      </c>
      <c r="D134" s="694"/>
      <c r="E134" s="694"/>
      <c r="F134" s="694"/>
      <c r="G134" s="694"/>
      <c r="H134" s="694"/>
      <c r="I134" s="694"/>
      <c r="J134" s="694"/>
      <c r="K134" s="694"/>
      <c r="L134" s="694"/>
      <c r="N134" s="399"/>
      <c r="O134" s="400"/>
    </row>
    <row r="135" spans="1:15" s="50" customFormat="1" ht="4.5" customHeight="1">
      <c r="A135" s="49"/>
      <c r="C135" s="132"/>
      <c r="D135" s="120"/>
      <c r="E135" s="122"/>
      <c r="F135" s="123"/>
      <c r="G135" s="124"/>
      <c r="H135" s="123"/>
      <c r="I135" s="123"/>
      <c r="J135" s="483"/>
      <c r="K135" s="119"/>
      <c r="L135" s="119"/>
      <c r="N135" s="47"/>
      <c r="O135" s="48"/>
    </row>
    <row r="136" spans="1:17" s="134" customFormat="1" ht="20.25" customHeight="1">
      <c r="A136" s="133"/>
      <c r="C136" s="695" t="s">
        <v>179</v>
      </c>
      <c r="D136" s="695"/>
      <c r="E136" s="695"/>
      <c r="F136" s="695"/>
      <c r="G136" s="695"/>
      <c r="H136" s="695"/>
      <c r="I136" s="695"/>
      <c r="J136" s="695"/>
      <c r="K136" s="695"/>
      <c r="L136" s="695"/>
      <c r="M136" s="695"/>
      <c r="N136" s="484"/>
      <c r="O136" s="485"/>
      <c r="P136" s="448"/>
      <c r="Q136" s="135"/>
    </row>
    <row r="137" spans="1:17" ht="12.75" customHeight="1" thickBot="1">
      <c r="A137" s="1"/>
      <c r="C137" s="136"/>
      <c r="D137" s="137"/>
      <c r="E137" s="138"/>
      <c r="G137" s="139"/>
      <c r="H137" s="139"/>
      <c r="I137" s="139"/>
      <c r="J137" s="139"/>
      <c r="K137" s="139"/>
      <c r="L137" s="18" t="s">
        <v>2</v>
      </c>
      <c r="M137" s="140"/>
      <c r="N137" s="484"/>
      <c r="O137" s="485"/>
      <c r="P137" s="11"/>
      <c r="Q137" s="2"/>
    </row>
    <row r="138" spans="1:17" ht="7.5" customHeight="1" thickTop="1">
      <c r="A138" s="1"/>
      <c r="C138" s="19"/>
      <c r="D138" s="141"/>
      <c r="E138" s="142"/>
      <c r="F138" s="23"/>
      <c r="G138" s="23"/>
      <c r="H138" s="23"/>
      <c r="I138" s="23"/>
      <c r="J138" s="23"/>
      <c r="K138" s="23"/>
      <c r="L138" s="27"/>
      <c r="M138" s="486"/>
      <c r="N138" s="484"/>
      <c r="O138" s="485"/>
      <c r="P138" s="11"/>
      <c r="Q138" s="2"/>
    </row>
    <row r="139" spans="1:17" s="50" customFormat="1" ht="13.5" customHeight="1" thickBot="1">
      <c r="A139" s="49"/>
      <c r="B139" s="52"/>
      <c r="C139" s="143"/>
      <c r="D139" s="696" t="s">
        <v>180</v>
      </c>
      <c r="E139" s="696"/>
      <c r="F139" s="696"/>
      <c r="G139" s="697"/>
      <c r="H139" s="698" t="s">
        <v>181</v>
      </c>
      <c r="I139" s="697"/>
      <c r="J139" s="698" t="s">
        <v>182</v>
      </c>
      <c r="K139" s="696"/>
      <c r="L139" s="144"/>
      <c r="M139" s="260"/>
      <c r="N139" s="484"/>
      <c r="O139" s="485"/>
      <c r="P139" s="53"/>
      <c r="Q139" s="54"/>
    </row>
    <row r="140" spans="1:17" s="50" customFormat="1" ht="13.5" customHeight="1" thickTop="1">
      <c r="A140" s="49"/>
      <c r="C140" s="143"/>
      <c r="D140" s="699" t="s">
        <v>276</v>
      </c>
      <c r="E140" s="699"/>
      <c r="F140" s="699"/>
      <c r="G140" s="700"/>
      <c r="H140" s="701" t="s">
        <v>184</v>
      </c>
      <c r="I140" s="702"/>
      <c r="J140" s="703" t="e">
        <f>GetThePrice(Раствор_для_кладки_72102_Quick_Mix_Россия_VK_plus_B_30_кг_светло_бежевый,Дата,"Москва",Розничная)</f>
        <v>#NAME?</v>
      </c>
      <c r="K140" s="704"/>
      <c r="L140" s="145"/>
      <c r="M140" s="261"/>
      <c r="N140" s="484"/>
      <c r="O140" s="485"/>
      <c r="P140" s="53"/>
      <c r="Q140" s="54"/>
    </row>
    <row r="141" spans="1:17" s="50" customFormat="1" ht="13.5" customHeight="1">
      <c r="A141" s="49"/>
      <c r="C141" s="143"/>
      <c r="D141" s="705" t="s">
        <v>185</v>
      </c>
      <c r="E141" s="705"/>
      <c r="F141" s="705"/>
      <c r="G141" s="706"/>
      <c r="H141" s="707" t="s">
        <v>186</v>
      </c>
      <c r="I141" s="708"/>
      <c r="J141" s="709" t="e">
        <f>GetThePrice(Гидроизоляция_отсечная_DELTA_MAUERWERKSSPERRE_25_0_6_м,Дата,"Москва",Розничная)</f>
        <v>#NAME?</v>
      </c>
      <c r="K141" s="710"/>
      <c r="L141" s="145"/>
      <c r="M141" s="261"/>
      <c r="N141" s="484"/>
      <c r="O141" s="485"/>
      <c r="P141" s="53"/>
      <c r="Q141" s="54"/>
    </row>
    <row r="142" spans="1:17" s="50" customFormat="1" ht="13.5" customHeight="1">
      <c r="A142" s="49"/>
      <c r="C142" s="143"/>
      <c r="D142" s="705" t="s">
        <v>187</v>
      </c>
      <c r="E142" s="705"/>
      <c r="F142" s="705"/>
      <c r="G142" s="706"/>
      <c r="H142" s="707" t="s">
        <v>188</v>
      </c>
      <c r="I142" s="708"/>
      <c r="J142" s="709" t="e">
        <f>GetThePrice(гибкая_связь_MV,Дата,"Москва",Розничная)</f>
        <v>#NAME?</v>
      </c>
      <c r="K142" s="710"/>
      <c r="L142" s="145"/>
      <c r="M142" s="261"/>
      <c r="N142" s="484"/>
      <c r="O142" s="485"/>
      <c r="P142" s="53"/>
      <c r="Q142" s="54"/>
    </row>
    <row r="143" spans="1:17" s="50" customFormat="1" ht="13.5" customHeight="1">
      <c r="A143" s="49"/>
      <c r="C143" s="143"/>
      <c r="D143" s="705" t="s">
        <v>189</v>
      </c>
      <c r="E143" s="705"/>
      <c r="F143" s="705"/>
      <c r="G143" s="706"/>
      <c r="H143" s="712" t="s">
        <v>190</v>
      </c>
      <c r="I143" s="713"/>
      <c r="J143" s="709" t="e">
        <f>GetThePrice(Вентиляционная_коробочка_Baut_115х60х10_мм_светло_серый,Дата,"Москва",Розничная)</f>
        <v>#NAME?</v>
      </c>
      <c r="K143" s="710"/>
      <c r="L143" s="145"/>
      <c r="M143" s="261"/>
      <c r="N143" s="484"/>
      <c r="O143" s="485"/>
      <c r="P143" s="53"/>
      <c r="Q143" s="54"/>
    </row>
    <row r="144" spans="1:17" s="50" customFormat="1" ht="13.5" customHeight="1">
      <c r="A144" s="49"/>
      <c r="C144" s="143"/>
      <c r="D144" s="714" t="s">
        <v>191</v>
      </c>
      <c r="E144" s="714"/>
      <c r="F144" s="714"/>
      <c r="G144" s="715"/>
      <c r="H144" s="716" t="s">
        <v>192</v>
      </c>
      <c r="I144" s="717"/>
      <c r="J144" s="709" t="e">
        <f>GetThePrice(Арматура_оцинкованная_3050х50_мм_Murfor_RND_Z_50,Дата,"Москва",Розничная)</f>
        <v>#NAME?</v>
      </c>
      <c r="K144" s="710"/>
      <c r="L144" s="145"/>
      <c r="M144" s="261"/>
      <c r="N144" s="484"/>
      <c r="O144" s="485"/>
      <c r="P144" s="53"/>
      <c r="Q144" s="54"/>
    </row>
    <row r="145" spans="1:17" s="50" customFormat="1" ht="5.25" customHeight="1" thickBot="1">
      <c r="A145" s="49"/>
      <c r="C145" s="110"/>
      <c r="D145" s="146"/>
      <c r="E145" s="147"/>
      <c r="F145" s="148"/>
      <c r="G145" s="148"/>
      <c r="H145" s="149"/>
      <c r="I145" s="148"/>
      <c r="J145" s="148"/>
      <c r="K145" s="148"/>
      <c r="L145" s="118"/>
      <c r="M145" s="119"/>
      <c r="N145" s="484"/>
      <c r="O145" s="485"/>
      <c r="P145" s="53"/>
      <c r="Q145" s="54"/>
    </row>
    <row r="146" spans="1:15" s="50" customFormat="1" ht="12" customHeight="1" thickTop="1">
      <c r="A146" s="49"/>
      <c r="C146" s="487" t="s">
        <v>193</v>
      </c>
      <c r="D146" s="160"/>
      <c r="E146" s="162"/>
      <c r="F146" s="159"/>
      <c r="G146" s="488"/>
      <c r="H146" s="159"/>
      <c r="I146" s="159"/>
      <c r="J146" s="489"/>
      <c r="K146" s="159"/>
      <c r="N146" s="47"/>
      <c r="O146" s="48"/>
    </row>
    <row r="147" spans="1:15" s="50" customFormat="1" ht="12" customHeight="1">
      <c r="A147" s="49"/>
      <c r="C147" s="490" t="s">
        <v>194</v>
      </c>
      <c r="D147" s="491"/>
      <c r="E147" s="492"/>
      <c r="F147" s="493"/>
      <c r="G147" s="494"/>
      <c r="H147" s="493"/>
      <c r="I147" s="493"/>
      <c r="J147" s="268"/>
      <c r="K147" s="268"/>
      <c r="M147" s="155"/>
      <c r="N147" s="47"/>
      <c r="O147" s="48"/>
    </row>
    <row r="148" spans="1:15" s="50" customFormat="1" ht="12" customHeight="1">
      <c r="A148" s="49"/>
      <c r="C148" s="490" t="s">
        <v>195</v>
      </c>
      <c r="D148" s="495"/>
      <c r="E148" s="496"/>
      <c r="F148" s="451"/>
      <c r="G148" s="497"/>
      <c r="H148" s="451"/>
      <c r="I148" s="451"/>
      <c r="J148" s="451"/>
      <c r="K148" s="451"/>
      <c r="M148" s="155"/>
      <c r="N148" s="47"/>
      <c r="O148" s="48"/>
    </row>
    <row r="149" spans="1:15" s="50" customFormat="1" ht="12" customHeight="1">
      <c r="A149" s="49"/>
      <c r="C149" s="490" t="s">
        <v>196</v>
      </c>
      <c r="D149" s="495"/>
      <c r="E149" s="496"/>
      <c r="F149" s="451"/>
      <c r="G149" s="497"/>
      <c r="H149" s="451"/>
      <c r="I149" s="451"/>
      <c r="J149" s="451"/>
      <c r="K149" s="451"/>
      <c r="M149" s="155"/>
      <c r="N149" s="156"/>
      <c r="O149" s="54"/>
    </row>
    <row r="150" spans="1:15" s="50" customFormat="1" ht="12" customHeight="1">
      <c r="A150" s="49"/>
      <c r="C150" s="490" t="s">
        <v>197</v>
      </c>
      <c r="D150" s="495"/>
      <c r="E150" s="496"/>
      <c r="F150" s="451"/>
      <c r="G150" s="497"/>
      <c r="H150" s="451"/>
      <c r="I150" s="451"/>
      <c r="J150" s="451"/>
      <c r="K150" s="451"/>
      <c r="M150" s="155"/>
      <c r="N150" s="156"/>
      <c r="O150" s="54"/>
    </row>
    <row r="151" spans="1:15" s="50" customFormat="1" ht="12" customHeight="1">
      <c r="A151" s="49"/>
      <c r="C151" s="498" t="s">
        <v>198</v>
      </c>
      <c r="D151" s="499"/>
      <c r="E151" s="500"/>
      <c r="F151" s="452"/>
      <c r="G151" s="497"/>
      <c r="H151" s="451"/>
      <c r="I151" s="451"/>
      <c r="J151" s="451"/>
      <c r="K151" s="451"/>
      <c r="M151" s="155"/>
      <c r="N151" s="156"/>
      <c r="O151" s="54"/>
    </row>
    <row r="152" spans="1:15" s="50" customFormat="1" ht="5.25" customHeight="1">
      <c r="A152" s="49"/>
      <c r="C152" s="123"/>
      <c r="D152" s="495"/>
      <c r="E152" s="496"/>
      <c r="F152" s="451"/>
      <c r="G152" s="451"/>
      <c r="H152" s="451"/>
      <c r="I152" s="451"/>
      <c r="J152" s="451"/>
      <c r="K152" s="451"/>
      <c r="M152" s="155"/>
      <c r="N152" s="156"/>
      <c r="O152" s="54"/>
    </row>
    <row r="153" spans="1:15" s="50" customFormat="1" ht="24.75" customHeight="1">
      <c r="A153" s="49"/>
      <c r="C153" s="711" t="s">
        <v>199</v>
      </c>
      <c r="D153" s="711"/>
      <c r="E153" s="711"/>
      <c r="F153" s="711"/>
      <c r="G153" s="711"/>
      <c r="H153" s="711"/>
      <c r="I153" s="711"/>
      <c r="J153" s="711"/>
      <c r="K153" s="711"/>
      <c r="L153" s="711"/>
      <c r="M153" s="155"/>
      <c r="N153" s="156"/>
      <c r="O153" s="54"/>
    </row>
    <row r="154" spans="1:15" s="50" customFormat="1" ht="11.25" customHeight="1">
      <c r="A154" s="49"/>
      <c r="C154" s="159" t="s">
        <v>200</v>
      </c>
      <c r="D154" s="160"/>
      <c r="E154" s="162"/>
      <c r="F154" s="159"/>
      <c r="G154" s="159"/>
      <c r="H154" s="159"/>
      <c r="I154" s="159"/>
      <c r="J154" s="489"/>
      <c r="K154" s="159"/>
      <c r="N154" s="53"/>
      <c r="O154" s="54"/>
    </row>
    <row r="155" spans="1:15" s="50" customFormat="1" ht="5.25" customHeight="1">
      <c r="A155" s="49"/>
      <c r="C155" s="159" t="s">
        <v>47</v>
      </c>
      <c r="D155" s="160"/>
      <c r="E155" s="162"/>
      <c r="F155" s="159"/>
      <c r="G155" s="159"/>
      <c r="H155" s="159"/>
      <c r="I155" s="159"/>
      <c r="J155" s="489"/>
      <c r="K155" s="159"/>
      <c r="N155" s="53"/>
      <c r="O155" s="54"/>
    </row>
    <row r="156" spans="1:15" s="50" customFormat="1" ht="9" customHeight="1" hidden="1">
      <c r="A156" s="49"/>
      <c r="D156" s="5"/>
      <c r="E156" s="164"/>
      <c r="F156" s="165"/>
      <c r="G156" s="165"/>
      <c r="H156" s="165"/>
      <c r="I156" s="165"/>
      <c r="J156" s="501"/>
      <c r="N156" s="53"/>
      <c r="O156" s="54"/>
    </row>
    <row r="157" spans="1:10" s="2" customFormat="1" ht="11.25" customHeight="1">
      <c r="A157" s="1"/>
      <c r="F157" s="3"/>
      <c r="G157" s="3"/>
      <c r="H157" s="3"/>
      <c r="I157" s="3"/>
      <c r="J157" s="3"/>
    </row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customHeight="1" hidden="1"/>
    <row r="546" ht="12.75" customHeight="1" hidden="1"/>
    <row r="547" ht="12.75" customHeight="1" hidden="1"/>
    <row r="548" ht="12.75" customHeight="1" hidden="1"/>
    <row r="549" ht="12.75" customHeight="1" hidden="1"/>
    <row r="550" ht="12.75" customHeight="1" hidden="1"/>
    <row r="551" ht="12.75" customHeight="1" hidden="1"/>
    <row r="552" ht="12.75" customHeight="1" hidden="1"/>
    <row r="553" ht="12.75" customHeight="1" hidden="1"/>
    <row r="554" ht="12.75" customHeight="1" hidden="1"/>
    <row r="555" ht="12.75" customHeight="1" hidden="1"/>
    <row r="556" ht="12.75" customHeight="1" hidden="1"/>
    <row r="557" ht="12.75" customHeight="1" hidden="1"/>
    <row r="558" ht="12.75" customHeight="1" hidden="1"/>
    <row r="559" ht="12.75" customHeight="1" hidden="1"/>
    <row r="560" ht="12.75" customHeight="1" hidden="1"/>
    <row r="561" ht="12.75" customHeight="1" hidden="1"/>
    <row r="562" ht="12.75" customHeight="1" hidden="1"/>
    <row r="563" ht="12.75" customHeight="1" hidden="1"/>
    <row r="564" ht="12.75" customHeight="1" hidden="1"/>
    <row r="565" ht="12.75" customHeight="1" hidden="1"/>
    <row r="566" ht="12.75" customHeight="1" hidden="1"/>
    <row r="567" ht="12.75" customHeight="1" hidden="1"/>
    <row r="568" ht="12.75" customHeight="1" hidden="1"/>
    <row r="569" ht="12.75" customHeight="1" hidden="1"/>
    <row r="570" ht="12.75" customHeight="1" hidden="1"/>
    <row r="571" ht="12.75" customHeight="1" hidden="1"/>
    <row r="572" ht="12.75" customHeight="1" hidden="1"/>
    <row r="573" ht="12.75" customHeight="1" hidden="1"/>
    <row r="574" ht="12.75" customHeight="1" hidden="1"/>
    <row r="575" ht="12.75" customHeight="1" hidden="1"/>
    <row r="576" ht="12.75" customHeight="1" hidden="1"/>
    <row r="577" ht="12.75" customHeight="1" hidden="1"/>
    <row r="578" ht="12.75" customHeight="1" hidden="1"/>
    <row r="579" ht="12.75" customHeight="1" hidden="1"/>
    <row r="580" ht="12.75" customHeight="1" hidden="1"/>
    <row r="581" ht="12.75" customHeight="1" hidden="1"/>
    <row r="582" ht="12.75" customHeight="1" hidden="1"/>
    <row r="583" ht="12.75" customHeight="1" hidden="1"/>
    <row r="584" ht="12.75" customHeight="1" hidden="1"/>
    <row r="585" ht="12.75" customHeight="1" hidden="1"/>
    <row r="586" ht="12.75" customHeight="1" hidden="1"/>
    <row r="587" ht="12.75" customHeight="1" hidden="1"/>
    <row r="588" ht="12.75" customHeight="1" hidden="1"/>
    <row r="589" ht="12.75" customHeight="1" hidden="1"/>
    <row r="590" ht="12.75" customHeight="1" hidden="1"/>
    <row r="591" ht="12.75" customHeight="1" hidden="1"/>
    <row r="592" ht="12.75" customHeight="1" hidden="1"/>
    <row r="593" ht="12.75" customHeight="1" hidden="1"/>
    <row r="594" ht="12.75" customHeight="1" hidden="1"/>
    <row r="595" ht="12.75" customHeight="1" hidden="1"/>
    <row r="596" ht="12.75" customHeight="1" hidden="1"/>
    <row r="597" ht="12.75" customHeight="1" hidden="1"/>
    <row r="598" ht="12.75" customHeight="1" hidden="1"/>
    <row r="599" ht="12.75" customHeight="1" hidden="1"/>
    <row r="600" ht="12.75" customHeight="1" hidden="1"/>
    <row r="601" ht="12.75" customHeight="1" hidden="1"/>
    <row r="602" ht="12.75" customHeight="1" hidden="1"/>
    <row r="603" ht="12.75" customHeight="1" hidden="1"/>
    <row r="604" ht="12.75" customHeight="1" hidden="1"/>
    <row r="605" ht="12.75" customHeight="1" hidden="1"/>
    <row r="606" ht="12.75" customHeight="1" hidden="1"/>
    <row r="607" ht="12.75" customHeight="1" hidden="1"/>
    <row r="608" ht="12.75" customHeight="1" hidden="1"/>
    <row r="609" ht="12.75" customHeight="1" hidden="1"/>
    <row r="610" ht="12.75" customHeight="1" hidden="1"/>
    <row r="611" ht="12.75" customHeight="1" hidden="1"/>
    <row r="612" ht="12.75" customHeight="1" hidden="1"/>
    <row r="613" ht="12.75" customHeight="1" hidden="1"/>
    <row r="614" ht="12.75" customHeight="1" hidden="1"/>
    <row r="615" ht="12.75" customHeight="1" hidden="1"/>
    <row r="616" ht="12.75" customHeight="1" hidden="1"/>
    <row r="617" ht="12.75" customHeight="1" hidden="1"/>
    <row r="618" ht="12.75" customHeight="1" hidden="1"/>
    <row r="619" ht="12.75" customHeight="1" hidden="1"/>
    <row r="620" ht="12.75" customHeight="1" hidden="1"/>
    <row r="621" ht="12.75" customHeight="1" hidden="1"/>
    <row r="622" ht="12.75" customHeight="1" hidden="1"/>
    <row r="623" ht="12.75" customHeight="1" hidden="1"/>
    <row r="624" ht="12.75" customHeight="1" hidden="1"/>
    <row r="625" ht="12.75" customHeight="1" hidden="1"/>
    <row r="626" ht="12.75" customHeight="1" hidden="1"/>
    <row r="627" ht="12.75" customHeight="1" hidden="1"/>
    <row r="628" ht="12.75" customHeight="1" hidden="1"/>
    <row r="629" ht="12.75" customHeight="1" hidden="1"/>
    <row r="630" ht="12.75" customHeight="1" hidden="1"/>
    <row r="631" ht="12.75" customHeight="1" hidden="1"/>
    <row r="632" ht="12.75" customHeight="1" hidden="1"/>
    <row r="633" ht="12.75" customHeight="1" hidden="1"/>
    <row r="634" ht="12.75" customHeight="1" hidden="1"/>
    <row r="635" ht="12.75" customHeight="1" hidden="1"/>
    <row r="636" ht="12.75" customHeight="1" hidden="1"/>
    <row r="637" ht="12.75" customHeight="1" hidden="1"/>
    <row r="638" ht="12.75" customHeight="1" hidden="1"/>
    <row r="639" ht="12.75" customHeight="1" hidden="1"/>
    <row r="640" ht="12.75" customHeight="1" hidden="1"/>
    <row r="641" ht="12.75" customHeight="1" hidden="1"/>
    <row r="642" ht="12.75" customHeight="1" hidden="1"/>
    <row r="643" ht="12.75" customHeight="1" hidden="1"/>
    <row r="644" ht="12.75" customHeight="1" hidden="1"/>
    <row r="645" ht="12.75" customHeight="1" hidden="1"/>
    <row r="646" ht="12.75" customHeight="1" hidden="1"/>
    <row r="647" ht="12.75" customHeight="1" hidden="1"/>
    <row r="648" ht="12.75" customHeight="1" hidden="1"/>
    <row r="649" ht="12.75" customHeight="1" hidden="1"/>
    <row r="650" ht="12.75" customHeight="1" hidden="1"/>
    <row r="651" ht="12.75" customHeight="1" hidden="1"/>
    <row r="652" ht="12.75" customHeight="1" hidden="1"/>
    <row r="653" ht="12.75" customHeight="1" hidden="1"/>
    <row r="654" ht="12.75" customHeight="1" hidden="1"/>
    <row r="655" ht="12.75" customHeight="1" hidden="1"/>
    <row r="656" ht="12.75" customHeight="1" hidden="1"/>
    <row r="657" ht="12.75" customHeight="1" hidden="1"/>
    <row r="658" ht="12.75" customHeight="1" hidden="1"/>
    <row r="659" ht="12.75" customHeight="1" hidden="1"/>
    <row r="660" ht="12.75" customHeight="1" hidden="1"/>
    <row r="661" ht="12.75" customHeight="1" hidden="1"/>
    <row r="662" ht="12.75" customHeight="1" hidden="1"/>
    <row r="663" ht="12.75" customHeight="1" hidden="1"/>
    <row r="664" ht="12.75" customHeight="1" hidden="1"/>
    <row r="665" ht="12.75" customHeight="1" hidden="1"/>
    <row r="666" ht="12.75" customHeight="1" hidden="1"/>
    <row r="667" ht="12.75" customHeight="1" hidden="1"/>
    <row r="668" ht="12.75" customHeight="1" hidden="1"/>
    <row r="669" ht="12.75" customHeight="1" hidden="1"/>
    <row r="670" ht="12.75" customHeight="1" hidden="1"/>
    <row r="671" ht="12.75" customHeight="1" hidden="1"/>
    <row r="672" ht="12.75" customHeight="1" hidden="1"/>
    <row r="673" ht="12.75" customHeight="1" hidden="1"/>
    <row r="674" ht="12.75" customHeight="1" hidden="1"/>
    <row r="675" ht="12.75" customHeight="1" hidden="1"/>
  </sheetData>
  <sheetProtection/>
  <mergeCells count="73">
    <mergeCell ref="D144:G144"/>
    <mergeCell ref="H144:I144"/>
    <mergeCell ref="J144:K144"/>
    <mergeCell ref="C153:L153"/>
    <mergeCell ref="D142:G142"/>
    <mergeCell ref="H142:I142"/>
    <mergeCell ref="J142:K142"/>
    <mergeCell ref="D143:G143"/>
    <mergeCell ref="H143:I143"/>
    <mergeCell ref="J143:K143"/>
    <mergeCell ref="D140:G140"/>
    <mergeCell ref="H140:I140"/>
    <mergeCell ref="J140:K140"/>
    <mergeCell ref="D141:G141"/>
    <mergeCell ref="H141:I141"/>
    <mergeCell ref="J141:K141"/>
    <mergeCell ref="D123:D124"/>
    <mergeCell ref="D125:D127"/>
    <mergeCell ref="D128:D130"/>
    <mergeCell ref="C134:L134"/>
    <mergeCell ref="C136:M136"/>
    <mergeCell ref="D139:G139"/>
    <mergeCell ref="H139:I139"/>
    <mergeCell ref="J139:K139"/>
    <mergeCell ref="D113:D115"/>
    <mergeCell ref="C118:L118"/>
    <mergeCell ref="F119:L119"/>
    <mergeCell ref="D121:D122"/>
    <mergeCell ref="E121:E122"/>
    <mergeCell ref="F121:F122"/>
    <mergeCell ref="G121:G122"/>
    <mergeCell ref="H121:H122"/>
    <mergeCell ref="I121:I122"/>
    <mergeCell ref="J121:K121"/>
    <mergeCell ref="D97:D99"/>
    <mergeCell ref="D100:D101"/>
    <mergeCell ref="D102:D104"/>
    <mergeCell ref="D105:D107"/>
    <mergeCell ref="D109:D110"/>
    <mergeCell ref="D111:D112"/>
    <mergeCell ref="D76:D77"/>
    <mergeCell ref="D78:D79"/>
    <mergeCell ref="D81:D84"/>
    <mergeCell ref="D85:D88"/>
    <mergeCell ref="D89:D91"/>
    <mergeCell ref="D94:D96"/>
    <mergeCell ref="D58:D60"/>
    <mergeCell ref="D61:D63"/>
    <mergeCell ref="D64:D66"/>
    <mergeCell ref="D67:D69"/>
    <mergeCell ref="D71:D73"/>
    <mergeCell ref="D74:D75"/>
    <mergeCell ref="D36:D38"/>
    <mergeCell ref="D39:D41"/>
    <mergeCell ref="D42:D45"/>
    <mergeCell ref="D47:D49"/>
    <mergeCell ref="D50:D53"/>
    <mergeCell ref="D54:D57"/>
    <mergeCell ref="D16:D17"/>
    <mergeCell ref="D18:D21"/>
    <mergeCell ref="D22:D25"/>
    <mergeCell ref="D26:D28"/>
    <mergeCell ref="D29:D32"/>
    <mergeCell ref="D33:D35"/>
    <mergeCell ref="C6:L6"/>
    <mergeCell ref="F11:L11"/>
    <mergeCell ref="D13:D14"/>
    <mergeCell ref="E13:E14"/>
    <mergeCell ref="F13:F14"/>
    <mergeCell ref="G13:G14"/>
    <mergeCell ref="H13:H14"/>
    <mergeCell ref="I13:I14"/>
    <mergeCell ref="J13:K13"/>
  </mergeCells>
  <hyperlinks>
    <hyperlink ref="D10" location="Меню!A1" display="Вернуться назад"/>
  </hyperlinks>
  <printOptions horizontalCentered="1"/>
  <pageMargins left="0.7874015748031497" right="0.7874015748031497" top="0.3937007874015748" bottom="0.3937007874015748" header="0" footer="0"/>
  <pageSetup fitToHeight="2" fitToWidth="1" horizontalDpi="600" verticalDpi="600" orientation="portrait" paperSize="9" scale="48" r:id="rId2"/>
  <headerFooter alignWithMargins="0">
    <oddFooter>&amp;RСтраница &amp;P из &amp;N</oddFooter>
  </headerFooter>
  <rowBreaks count="1" manualBreakCount="1">
    <brk id="117" min="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Ценообразование</dc:creator>
  <cp:keywords/>
  <dc:description/>
  <cp:lastModifiedBy>Mikes2</cp:lastModifiedBy>
  <dcterms:created xsi:type="dcterms:W3CDTF">2019-02-15T12:38:55Z</dcterms:created>
  <dcterms:modified xsi:type="dcterms:W3CDTF">2019-02-17T14:01:35Z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